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60" windowWidth="13500" windowHeight="7125" tabRatio="613" activeTab="1"/>
  </bookViews>
  <sheets>
    <sheet name="Info" sheetId="1" r:id="rId1"/>
    <sheet name="Calculation" sheetId="2" r:id="rId2"/>
  </sheets>
  <definedNames>
    <definedName name="AddContact">#REF!</definedName>
    <definedName name="AddCounterp">#REF!</definedName>
    <definedName name="AdjustLibor">#REF!</definedName>
    <definedName name="Alarm">[0]!Alarm</definedName>
    <definedName name="Alarm2">[0]!Alarm2</definedName>
    <definedName name="_xlnm.Print_Area" localSheetId="1">'Calculation'!$A$1:$I$47</definedName>
    <definedName name="_xlnm.Print_Area" localSheetId="0">'Info'!$A:$IV</definedName>
    <definedName name="EndSeller">[0]!EndSeller</definedName>
    <definedName name="Exit">#REF!</definedName>
    <definedName name="Offer">#REF!</definedName>
    <definedName name="Print">#REF!</definedName>
    <definedName name="ReturnfromLibor">#REF!</definedName>
    <definedName name="Select">#REF!</definedName>
    <definedName name="solver_adj" localSheetId="1" hidden="1">'Calculation'!$G$22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0</definedName>
    <definedName name="solver_num" localSheetId="1" hidden="1">0</definedName>
    <definedName name="solver_nwt" localSheetId="1" hidden="1">1</definedName>
    <definedName name="solver_opt" localSheetId="1" hidden="1">'Calculation'!$I$26</definedName>
    <definedName name="solver_pre" localSheetId="1" hidden="1">0.000001</definedName>
    <definedName name="solver_scl" localSheetId="1" hidden="1">0</definedName>
    <definedName name="solver_sho" localSheetId="1" hidden="1">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CRITERIA" localSheetId="1">'Calculation'!$A$22:$A$23</definedName>
    <definedName name="EXTRACT" localSheetId="1">'Calculation'!$A$29:$B$29</definedName>
  </definedNames>
  <calcPr fullCalcOnLoad="1"/>
</workbook>
</file>

<file path=xl/sharedStrings.xml><?xml version="1.0" encoding="utf-8"?>
<sst xmlns="http://schemas.openxmlformats.org/spreadsheetml/2006/main" count="124" uniqueCount="113">
  <si>
    <t>Provided by: VEFI - The Association of Forfaiters in Switzerland</t>
  </si>
  <si>
    <t xml:space="preserve">         1. third-party claims against you for losses or damages;                 </t>
  </si>
  <si>
    <t xml:space="preserve">         2. loss of, or damage to, your records or data; or                         </t>
  </si>
  <si>
    <t>You may use, change or distribute this worksheet as long as you mention the source</t>
  </si>
  <si>
    <t>"VEFI -The Association of Forfaiters in Switzerland". Terms for changing the spreadsheet see below.</t>
  </si>
  <si>
    <t>- face values are calculated by applying simple interest on the reducing balance</t>
  </si>
  <si>
    <t>- interest is calculated on a straight discount or discount-to-yield basis</t>
  </si>
  <si>
    <t>- annual or semi-annualcompounding is applied to yields</t>
  </si>
  <si>
    <t>- 365/360 or 365/365 days basis are used</t>
  </si>
  <si>
    <t>- grace days and weekends (but not bank holidays) are taken into account</t>
  </si>
  <si>
    <t>- interpolated interest rates (eg. calculate the rate for a 540 days</t>
  </si>
  <si>
    <t xml:space="preserve">  note from a given 12 months and the 2 years rate) are calculated</t>
  </si>
  <si>
    <t>- matching libor ("rough") or average life libor are used</t>
  </si>
  <si>
    <t>To the best of our knowledge this spreadsheet is Year2000 compliant.</t>
  </si>
  <si>
    <t>To the best of our knowledge this spreadsheet is virus free.</t>
  </si>
  <si>
    <t>Copyright by VEFI - The Association of Forfaiters in Switzerland</t>
  </si>
  <si>
    <t>http://www.forfaitswiss.ch</t>
  </si>
  <si>
    <t>Requires Microsoft Excel 97 E or above</t>
  </si>
  <si>
    <t>Terms for changing this worksheet:</t>
  </si>
  <si>
    <t>To change the worksheet you have to unprotect it. You do not need a password to unprotect.</t>
  </si>
  <si>
    <t>We will not be able to assist you. Whatever you do (or what we did) you will have to find out yourself.</t>
  </si>
  <si>
    <t>Calculation of Bill Amounts (Face Values)</t>
  </si>
  <si>
    <t>Provided by: © VEFI  - The Association of Forfaitiers in Switzerland</t>
  </si>
  <si>
    <t>Interest paid by buyer</t>
  </si>
  <si>
    <t>Interest as from</t>
  </si>
  <si>
    <t>days basis</t>
  </si>
  <si>
    <t>Principal</t>
  </si>
  <si>
    <t xml:space="preserve">Interest  </t>
  </si>
  <si>
    <t>Face Value</t>
  </si>
  <si>
    <t>Maturity</t>
  </si>
  <si>
    <t>+ Days</t>
  </si>
  <si>
    <t>Days</t>
  </si>
  <si>
    <t>Balance</t>
  </si>
  <si>
    <t>Sunday</t>
  </si>
  <si>
    <t>Saturday</t>
  </si>
  <si>
    <t>Interest</t>
  </si>
  <si>
    <t>Discount Calculation</t>
  </si>
  <si>
    <t>31.12.2099</t>
  </si>
  <si>
    <t>Licence expiry date</t>
  </si>
  <si>
    <t>a11/r11</t>
  </si>
  <si>
    <t>&lt;&lt; s2-today: if entered so then Licence expiry date will be used</t>
  </si>
  <si>
    <t>Calculation</t>
  </si>
  <si>
    <t>Counterparty</t>
  </si>
  <si>
    <t>Reference</t>
  </si>
  <si>
    <t>Guarantor / Country</t>
  </si>
  <si>
    <t>Currency</t>
  </si>
  <si>
    <t>Commitment date</t>
  </si>
  <si>
    <t>Commitment Fee</t>
  </si>
  <si>
    <t>Other Fees</t>
  </si>
  <si>
    <t>(in % if below 50 / flat if above)</t>
  </si>
  <si>
    <t>Discounting date</t>
  </si>
  <si>
    <t>Margin</t>
  </si>
  <si>
    <t>Grace Days</t>
  </si>
  <si>
    <t>Average Life</t>
  </si>
  <si>
    <t>(Total Face)</t>
  </si>
  <si>
    <t>Av Life</t>
  </si>
  <si>
    <t>Applied Libor rate</t>
  </si>
  <si>
    <t>Discount rate</t>
  </si>
  <si>
    <t>Match. Libor (rough)</t>
  </si>
  <si>
    <t>(Total Discount)</t>
  </si>
  <si>
    <t>Average Life Libor</t>
  </si>
  <si>
    <t>Net Value</t>
  </si>
  <si>
    <t>Discount</t>
  </si>
  <si>
    <t>Net Amount</t>
  </si>
  <si>
    <t>Libor</t>
  </si>
  <si>
    <t>Libor Rates</t>
  </si>
  <si>
    <t>182Days</t>
  </si>
  <si>
    <t>Odd Days by 365</t>
  </si>
  <si>
    <t>183Days</t>
  </si>
  <si>
    <t>Odd Days by 183</t>
  </si>
  <si>
    <t>Factor sem</t>
  </si>
  <si>
    <t>Factor ann</t>
  </si>
  <si>
    <t>Factor SD</t>
  </si>
  <si>
    <t>InterestNo</t>
  </si>
  <si>
    <t>Interestp.a.</t>
  </si>
  <si>
    <t>Matching Libor rates</t>
  </si>
  <si>
    <t>1 M</t>
  </si>
  <si>
    <t>2M</t>
  </si>
  <si>
    <t>3M</t>
  </si>
  <si>
    <t>4M</t>
  </si>
  <si>
    <t>5M</t>
  </si>
  <si>
    <t>6M</t>
  </si>
  <si>
    <t>7M</t>
  </si>
  <si>
    <t>Straight Discount</t>
  </si>
  <si>
    <t>8M</t>
  </si>
  <si>
    <t>Yield</t>
  </si>
  <si>
    <t>9M</t>
  </si>
  <si>
    <t>matching LIBOR</t>
  </si>
  <si>
    <t>10M</t>
  </si>
  <si>
    <t>average life LIBOR</t>
  </si>
  <si>
    <t>11M</t>
  </si>
  <si>
    <t>12M</t>
  </si>
  <si>
    <t>2Y</t>
  </si>
  <si>
    <t>3Y</t>
  </si>
  <si>
    <t>Rate</t>
  </si>
  <si>
    <t>Amount</t>
  </si>
  <si>
    <t>4Y</t>
  </si>
  <si>
    <t>Commit Fee</t>
  </si>
  <si>
    <t>of face value</t>
  </si>
  <si>
    <t>5Y</t>
  </si>
  <si>
    <t>Basis used</t>
  </si>
  <si>
    <t>Net proceeds</t>
  </si>
  <si>
    <t>365/360</t>
  </si>
  <si>
    <t>365/365</t>
  </si>
  <si>
    <t>Section 1:</t>
  </si>
  <si>
    <t>Will help you to determine the face values based on a given contract amount</t>
  </si>
  <si>
    <t>Section 2:</t>
  </si>
  <si>
    <t>Will help you to discount notes with known face values and maturities:</t>
  </si>
  <si>
    <t>Note:</t>
  </si>
  <si>
    <t xml:space="preserve">This utility is provided to you as is. We do not warrant uninterrupted or error free operation.     </t>
  </si>
  <si>
    <t xml:space="preserve">Under no circumstances are we liable for any of the following:           </t>
  </si>
  <si>
    <t xml:space="preserve">         3. economic consequential damages (including lost profits or savings)      </t>
  </si>
  <si>
    <t xml:space="preserve">            or incidental damages, even if we are informed of their possibility.    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</si>
</sst>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0"/>
    <numFmt numFmtId="168" formatCode=";;;"/>
    <numFmt numFmtId="169" formatCode="0.000000"/>
    <numFmt numFmtId="170" formatCode="0.00000000"/>
    <numFmt numFmtId="171" formatCode="0.0000%"/>
  </numFmts>
  <fonts count="16">
    <font>
      <sz val="10"/>
      <name val="Helv"/>
      <family val="0"/>
    </font>
    <font>
      <sz val="10"/>
      <name val="Arial"/>
      <family val="0"/>
    </font>
    <font>
      <u val="single"/>
      <sz val="10"/>
      <color indexed="19"/>
      <name val="Helv"/>
      <family val="0"/>
    </font>
    <font>
      <u val="single"/>
      <sz val="10"/>
      <color indexed="20"/>
      <name val="Helv"/>
      <family val="0"/>
    </font>
    <font>
      <sz val="10"/>
      <name val="Tahoma"/>
      <family val="2"/>
    </font>
    <font>
      <sz val="8"/>
      <color indexed="55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1"/>
      <color indexed="10"/>
      <name val="Tahoma"/>
      <family val="2"/>
    </font>
    <font>
      <sz val="8"/>
      <color indexed="23"/>
      <name val="Tahoma"/>
      <family val="2"/>
    </font>
    <font>
      <u val="single"/>
      <sz val="8"/>
      <color indexed="23"/>
      <name val="Tahoma"/>
      <family val="2"/>
    </font>
    <font>
      <u val="single"/>
      <sz val="10"/>
      <color indexed="23"/>
      <name val="Tahoma"/>
      <family val="2"/>
    </font>
    <font>
      <sz val="11"/>
      <color indexed="1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4" fillId="2" borderId="0" xfId="0" applyFont="1" applyFill="1" applyAlignment="1" quotePrefix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 quotePrefix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 applyProtection="1">
      <alignment/>
      <protection hidden="1"/>
    </xf>
    <xf numFmtId="4" fontId="8" fillId="2" borderId="0" xfId="0" applyNumberFormat="1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 locked="0"/>
    </xf>
    <xf numFmtId="0" fontId="9" fillId="2" borderId="1" xfId="0" applyFont="1" applyFill="1" applyBorder="1" applyAlignment="1" applyProtection="1">
      <alignment/>
      <protection hidden="1"/>
    </xf>
    <xf numFmtId="0" fontId="9" fillId="2" borderId="1" xfId="0" applyNumberFormat="1" applyFont="1" applyFill="1" applyBorder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right"/>
      <protection/>
    </xf>
    <xf numFmtId="0" fontId="8" fillId="2" borderId="2" xfId="0" applyFont="1" applyFill="1" applyBorder="1" applyAlignment="1" applyProtection="1">
      <alignment/>
      <protection hidden="1"/>
    </xf>
    <xf numFmtId="4" fontId="8" fillId="2" borderId="2" xfId="0" applyNumberFormat="1" applyFont="1" applyFill="1" applyBorder="1" applyAlignment="1" applyProtection="1">
      <alignment/>
      <protection hidden="1"/>
    </xf>
    <xf numFmtId="0" fontId="8" fillId="2" borderId="2" xfId="0" applyFont="1" applyFill="1" applyBorder="1" applyAlignment="1" applyProtection="1">
      <alignment horizontal="right"/>
      <protection/>
    </xf>
    <xf numFmtId="167" fontId="8" fillId="2" borderId="3" xfId="0" applyNumberFormat="1" applyFont="1" applyFill="1" applyBorder="1" applyAlignment="1" applyProtection="1">
      <alignment/>
      <protection locked="0"/>
    </xf>
    <xf numFmtId="14" fontId="8" fillId="2" borderId="3" xfId="0" applyNumberFormat="1" applyFont="1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/>
      <protection hidden="1"/>
    </xf>
    <xf numFmtId="0" fontId="8" fillId="2" borderId="5" xfId="0" applyFont="1" applyFill="1" applyBorder="1" applyAlignment="1" applyProtection="1">
      <alignment/>
      <protection hidden="1"/>
    </xf>
    <xf numFmtId="4" fontId="8" fillId="2" borderId="2" xfId="0" applyNumberFormat="1" applyFont="1" applyFill="1" applyBorder="1" applyAlignment="1" applyProtection="1">
      <alignment horizontal="left"/>
      <protection hidden="1"/>
    </xf>
    <xf numFmtId="0" fontId="8" fillId="2" borderId="2" xfId="0" applyFont="1" applyFill="1" applyBorder="1" applyAlignment="1" applyProtection="1">
      <alignment horizontal="left"/>
      <protection hidden="1"/>
    </xf>
    <xf numFmtId="0" fontId="8" fillId="2" borderId="2" xfId="0" applyFont="1" applyFill="1" applyBorder="1" applyAlignment="1" applyProtection="1" quotePrefix="1">
      <alignment horizontal="left"/>
      <protection hidden="1"/>
    </xf>
    <xf numFmtId="4" fontId="8" fillId="2" borderId="6" xfId="0" applyNumberFormat="1" applyFont="1" applyFill="1" applyBorder="1" applyAlignment="1" applyProtection="1">
      <alignment/>
      <protection locked="0"/>
    </xf>
    <xf numFmtId="14" fontId="8" fillId="2" borderId="6" xfId="0" applyNumberFormat="1" applyFont="1" applyFill="1" applyBorder="1" applyAlignment="1" applyProtection="1">
      <alignment/>
      <protection locked="0"/>
    </xf>
    <xf numFmtId="1" fontId="8" fillId="2" borderId="0" xfId="0" applyNumberFormat="1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 locked="0"/>
    </xf>
    <xf numFmtId="4" fontId="8" fillId="2" borderId="7" xfId="0" applyNumberFormat="1" applyFont="1" applyFill="1" applyBorder="1" applyAlignment="1" applyProtection="1">
      <alignment/>
      <protection hidden="1"/>
    </xf>
    <xf numFmtId="0" fontId="8" fillId="2" borderId="1" xfId="0" applyNumberFormat="1" applyFont="1" applyFill="1" applyBorder="1" applyAlignment="1" applyProtection="1">
      <alignment horizontal="right"/>
      <protection hidden="1"/>
    </xf>
    <xf numFmtId="14" fontId="8" fillId="2" borderId="0" xfId="0" applyNumberFormat="1" applyFont="1" applyFill="1" applyAlignment="1" applyProtection="1">
      <alignment/>
      <protection hidden="1" locked="0"/>
    </xf>
    <xf numFmtId="168" fontId="8" fillId="2" borderId="0" xfId="0" applyNumberFormat="1" applyFont="1" applyFill="1" applyAlignment="1" applyProtection="1">
      <alignment/>
      <protection hidden="1" locked="0"/>
    </xf>
    <xf numFmtId="1" fontId="8" fillId="2" borderId="0" xfId="0" applyNumberFormat="1" applyFont="1" applyFill="1" applyAlignment="1" applyProtection="1">
      <alignment/>
      <protection hidden="1" locked="0"/>
    </xf>
    <xf numFmtId="0" fontId="8" fillId="2" borderId="2" xfId="0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8" fillId="2" borderId="3" xfId="0" applyFont="1" applyFill="1" applyBorder="1" applyAlignment="1" applyProtection="1">
      <alignment/>
      <protection locked="0"/>
    </xf>
    <xf numFmtId="2" fontId="8" fillId="2" borderId="0" xfId="0" applyNumberFormat="1" applyFont="1" applyFill="1" applyAlignment="1" applyProtection="1">
      <alignment/>
      <protection hidden="1" locked="0"/>
    </xf>
    <xf numFmtId="4" fontId="8" fillId="2" borderId="3" xfId="0" applyNumberFormat="1" applyFont="1" applyFill="1" applyBorder="1" applyAlignment="1" applyProtection="1">
      <alignment/>
      <protection locked="0"/>
    </xf>
    <xf numFmtId="0" fontId="8" fillId="2" borderId="0" xfId="0" applyNumberFormat="1" applyFont="1" applyFill="1" applyAlignment="1" applyProtection="1">
      <alignment horizontal="right"/>
      <protection hidden="1"/>
    </xf>
    <xf numFmtId="0" fontId="11" fillId="2" borderId="0" xfId="0" applyFont="1" applyFill="1" applyAlignment="1" applyProtection="1">
      <alignment/>
      <protection hidden="1"/>
    </xf>
    <xf numFmtId="169" fontId="8" fillId="2" borderId="3" xfId="0" applyNumberFormat="1" applyFont="1" applyFill="1" applyBorder="1" applyAlignment="1" applyProtection="1">
      <alignment/>
      <protection locked="0"/>
    </xf>
    <xf numFmtId="1" fontId="8" fillId="2" borderId="3" xfId="0" applyNumberFormat="1" applyFont="1" applyFill="1" applyBorder="1" applyAlignment="1" applyProtection="1">
      <alignment/>
      <protection locked="0"/>
    </xf>
    <xf numFmtId="2" fontId="8" fillId="2" borderId="0" xfId="0" applyNumberFormat="1" applyFont="1" applyFill="1" applyAlignment="1" applyProtection="1">
      <alignment/>
      <protection hidden="1"/>
    </xf>
    <xf numFmtId="4" fontId="8" fillId="2" borderId="0" xfId="0" applyNumberFormat="1" applyFont="1" applyFill="1" applyAlignment="1" applyProtection="1">
      <alignment/>
      <protection hidden="1" locked="0"/>
    </xf>
    <xf numFmtId="169" fontId="8" fillId="2" borderId="3" xfId="0" applyNumberFormat="1" applyFont="1" applyFill="1" applyBorder="1" applyAlignment="1" applyProtection="1">
      <alignment horizontal="right"/>
      <protection hidden="1"/>
    </xf>
    <xf numFmtId="3" fontId="8" fillId="2" borderId="0" xfId="0" applyNumberFormat="1" applyFont="1" applyFill="1" applyAlignment="1" applyProtection="1">
      <alignment horizontal="center"/>
      <protection hidden="1"/>
    </xf>
    <xf numFmtId="0" fontId="8" fillId="2" borderId="0" xfId="0" applyNumberFormat="1" applyFont="1" applyFill="1" applyAlignment="1" applyProtection="1">
      <alignment/>
      <protection hidden="1"/>
    </xf>
    <xf numFmtId="3" fontId="8" fillId="2" borderId="0" xfId="0" applyNumberFormat="1" applyFont="1" applyFill="1" applyAlignment="1" applyProtection="1">
      <alignment horizontal="right"/>
      <protection hidden="1"/>
    </xf>
    <xf numFmtId="169" fontId="8" fillId="2" borderId="0" xfId="0" applyNumberFormat="1" applyFont="1" applyFill="1" applyAlignment="1" applyProtection="1">
      <alignment horizontal="right"/>
      <protection hidden="1"/>
    </xf>
    <xf numFmtId="0" fontId="8" fillId="2" borderId="2" xfId="0" applyFont="1" applyFill="1" applyBorder="1" applyAlignment="1" applyProtection="1" quotePrefix="1">
      <alignment/>
      <protection hidden="1"/>
    </xf>
    <xf numFmtId="0" fontId="8" fillId="2" borderId="2" xfId="0" applyNumberFormat="1" applyFont="1" applyFill="1" applyBorder="1" applyAlignment="1" applyProtection="1">
      <alignment/>
      <protection hidden="1"/>
    </xf>
    <xf numFmtId="4" fontId="8" fillId="2" borderId="8" xfId="0" applyNumberFormat="1" applyFont="1" applyFill="1" applyBorder="1" applyAlignment="1" applyProtection="1">
      <alignment/>
      <protection locked="0"/>
    </xf>
    <xf numFmtId="14" fontId="8" fillId="2" borderId="9" xfId="0" applyNumberFormat="1" applyFont="1" applyFill="1" applyBorder="1" applyAlignment="1" applyProtection="1">
      <alignment/>
      <protection locked="0"/>
    </xf>
    <xf numFmtId="169" fontId="8" fillId="2" borderId="6" xfId="0" applyNumberFormat="1" applyFont="1" applyFill="1" applyBorder="1" applyAlignment="1" applyProtection="1">
      <alignment/>
      <protection locked="0"/>
    </xf>
    <xf numFmtId="170" fontId="8" fillId="2" borderId="0" xfId="0" applyNumberFormat="1" applyFont="1" applyFill="1" applyAlignment="1" applyProtection="1">
      <alignment/>
      <protection hidden="1" locked="0"/>
    </xf>
    <xf numFmtId="14" fontId="8" fillId="2" borderId="1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Alignment="1" applyProtection="1">
      <alignment/>
      <protection hidden="1" locked="0"/>
    </xf>
    <xf numFmtId="14" fontId="8" fillId="2" borderId="5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Alignment="1" applyProtection="1">
      <alignment horizontal="right"/>
      <protection hidden="1"/>
    </xf>
    <xf numFmtId="0" fontId="8" fillId="0" borderId="0" xfId="0" applyFont="1" applyFill="1" applyAlignment="1" applyProtection="1">
      <alignment/>
      <protection/>
    </xf>
    <xf numFmtId="171" fontId="8" fillId="2" borderId="0" xfId="0" applyNumberFormat="1" applyFont="1" applyFill="1" applyAlignment="1" applyProtection="1">
      <alignment horizontal="right"/>
      <protection hidden="1"/>
    </xf>
    <xf numFmtId="0" fontId="8" fillId="2" borderId="7" xfId="0" applyFont="1" applyFill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/>
      <protection hidden="1"/>
    </xf>
    <xf numFmtId="4" fontId="8" fillId="2" borderId="11" xfId="0" applyNumberFormat="1" applyFont="1" applyFill="1" applyBorder="1" applyAlignment="1" applyProtection="1">
      <alignment/>
      <protection hidden="1"/>
    </xf>
    <xf numFmtId="4" fontId="8" fillId="2" borderId="12" xfId="0" applyNumberFormat="1" applyFont="1" applyFill="1" applyBorder="1" applyAlignment="1" applyProtection="1">
      <alignment/>
      <protection locked="0"/>
    </xf>
    <xf numFmtId="4" fontId="8" fillId="2" borderId="13" xfId="0" applyNumberFormat="1" applyFont="1" applyFill="1" applyBorder="1" applyAlignment="1" applyProtection="1">
      <alignment/>
      <protection locked="0"/>
    </xf>
    <xf numFmtId="0" fontId="1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18" applyFont="1" applyFill="1" applyBorder="1" applyAlignment="1">
      <alignment horizontal="left"/>
    </xf>
    <xf numFmtId="169" fontId="15" fillId="2" borderId="3" xfId="0" applyNumberFormat="1" applyFont="1" applyFill="1" applyBorder="1" applyAlignment="1" applyProtection="1">
      <alignment horizontal="right"/>
      <protection hidden="1"/>
    </xf>
    <xf numFmtId="4" fontId="15" fillId="2" borderId="14" xfId="0" applyNumberFormat="1" applyFont="1" applyFill="1" applyBorder="1" applyAlignment="1" applyProtection="1">
      <alignment/>
      <protection hidden="1"/>
    </xf>
    <xf numFmtId="4" fontId="15" fillId="2" borderId="3" xfId="0" applyNumberFormat="1" applyFont="1" applyFill="1" applyBorder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5"/>
  <sheetViews>
    <sheetView workbookViewId="0" topLeftCell="A1">
      <selection activeCell="B3" sqref="B3"/>
    </sheetView>
  </sheetViews>
  <sheetFormatPr defaultColWidth="11.421875" defaultRowHeight="12.75"/>
  <cols>
    <col min="1" max="1" width="2.421875" style="1" customWidth="1"/>
    <col min="2" max="5" width="9.140625" style="1" customWidth="1"/>
    <col min="6" max="6" width="9.00390625" style="1" customWidth="1"/>
    <col min="7" max="9" width="9.140625" style="1" customWidth="1"/>
    <col min="10" max="10" width="11.00390625" style="1" customWidth="1"/>
    <col min="11" max="16384" width="9.140625" style="1" customWidth="1"/>
  </cols>
  <sheetData>
    <row r="1" spans="1:11" s="2" customFormat="1" ht="20.25" customHeight="1" thickBot="1">
      <c r="A1" s="3"/>
      <c r="B1" s="4"/>
      <c r="C1" s="4"/>
      <c r="D1" s="4"/>
      <c r="E1" s="4"/>
      <c r="F1" s="4"/>
      <c r="G1" s="4"/>
      <c r="H1" s="4"/>
      <c r="I1" s="4"/>
      <c r="J1" s="5" t="s">
        <v>0</v>
      </c>
      <c r="K1" s="1"/>
    </row>
    <row r="2" spans="1:11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2.75">
      <c r="A3" s="1"/>
      <c r="B3" s="6" t="s">
        <v>108</v>
      </c>
      <c r="C3" s="6"/>
      <c r="D3" s="6"/>
      <c r="E3" s="6"/>
      <c r="F3" s="6"/>
      <c r="G3" s="6"/>
      <c r="H3" s="6"/>
      <c r="I3" s="6"/>
      <c r="J3" s="6"/>
      <c r="K3" s="1"/>
    </row>
    <row r="4" spans="1:11" s="2" customFormat="1" ht="18" customHeight="1">
      <c r="A4" s="1"/>
      <c r="B4" s="1" t="s">
        <v>109</v>
      </c>
      <c r="C4" s="6"/>
      <c r="D4" s="6"/>
      <c r="E4" s="6"/>
      <c r="F4" s="6"/>
      <c r="G4" s="6"/>
      <c r="H4" s="6"/>
      <c r="I4" s="6"/>
      <c r="J4" s="6"/>
      <c r="K4" s="1"/>
    </row>
    <row r="5" spans="1:11" s="2" customFormat="1" ht="12.75">
      <c r="A5" s="1"/>
      <c r="B5" s="1" t="s">
        <v>110</v>
      </c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12.75">
      <c r="A6" s="1"/>
      <c r="B6" s="1" t="s">
        <v>1</v>
      </c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12.75">
      <c r="A7" s="1"/>
      <c r="B7" s="1" t="s">
        <v>2</v>
      </c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12.75">
      <c r="A8" s="1"/>
      <c r="B8" s="1" t="s">
        <v>111</v>
      </c>
      <c r="C8" s="1"/>
      <c r="D8" s="1"/>
      <c r="E8" s="1"/>
      <c r="F8" s="1"/>
      <c r="G8" s="1"/>
      <c r="H8" s="1"/>
      <c r="I8" s="1"/>
      <c r="J8" s="1"/>
      <c r="K8" s="1"/>
    </row>
    <row r="9" spans="1:11" s="2" customFormat="1" ht="12.75">
      <c r="A9" s="1"/>
      <c r="B9" s="1" t="s">
        <v>112</v>
      </c>
      <c r="C9" s="1"/>
      <c r="D9" s="1"/>
      <c r="E9" s="1"/>
      <c r="F9" s="1"/>
      <c r="G9" s="1"/>
      <c r="H9" s="1"/>
      <c r="I9" s="1"/>
      <c r="J9" s="1"/>
      <c r="K9" s="1"/>
    </row>
    <row r="10" ht="18" customHeight="1">
      <c r="B10" s="1" t="s">
        <v>3</v>
      </c>
    </row>
    <row r="11" ht="12.75">
      <c r="B11" s="1" t="s">
        <v>4</v>
      </c>
    </row>
    <row r="12" ht="24" customHeight="1"/>
    <row r="13" ht="12.75" customHeight="1">
      <c r="B13" s="6" t="s">
        <v>104</v>
      </c>
    </row>
    <row r="14" spans="2:10" ht="18" customHeight="1">
      <c r="B14" s="74" t="s">
        <v>105</v>
      </c>
      <c r="C14" s="74"/>
      <c r="D14" s="74"/>
      <c r="E14" s="74"/>
      <c r="F14" s="74"/>
      <c r="G14" s="74"/>
      <c r="H14" s="74"/>
      <c r="I14" s="74"/>
      <c r="J14" s="74"/>
    </row>
    <row r="15" ht="12.75">
      <c r="B15" s="7" t="s">
        <v>5</v>
      </c>
    </row>
    <row r="17" ht="12.75">
      <c r="B17" s="6" t="s">
        <v>106</v>
      </c>
    </row>
    <row r="18" spans="2:10" ht="18" customHeight="1">
      <c r="B18" s="74" t="s">
        <v>107</v>
      </c>
      <c r="C18" s="74"/>
      <c r="D18" s="74"/>
      <c r="E18" s="74"/>
      <c r="F18" s="74"/>
      <c r="G18" s="74"/>
      <c r="H18" s="74"/>
      <c r="I18" s="74"/>
      <c r="J18" s="74"/>
    </row>
    <row r="19" ht="12.75">
      <c r="B19" s="7" t="s">
        <v>6</v>
      </c>
    </row>
    <row r="20" ht="12.75">
      <c r="B20" s="7" t="s">
        <v>7</v>
      </c>
    </row>
    <row r="21" spans="2:10" ht="12.75">
      <c r="B21" s="9" t="s">
        <v>8</v>
      </c>
      <c r="C21" s="9"/>
      <c r="D21" s="9"/>
      <c r="E21" s="9"/>
      <c r="F21" s="9"/>
      <c r="G21" s="9"/>
      <c r="H21" s="9"/>
      <c r="I21" s="9"/>
      <c r="J21" s="9"/>
    </row>
    <row r="22" ht="12.75">
      <c r="B22" s="7" t="s">
        <v>9</v>
      </c>
    </row>
    <row r="23" ht="12.75">
      <c r="B23" s="7" t="s">
        <v>10</v>
      </c>
    </row>
    <row r="24" spans="2:10" ht="12.75">
      <c r="B24" s="10" t="s">
        <v>11</v>
      </c>
      <c r="C24" s="10"/>
      <c r="D24" s="10"/>
      <c r="E24" s="10"/>
      <c r="F24" s="10"/>
      <c r="G24" s="10"/>
      <c r="H24" s="10"/>
      <c r="I24" s="10"/>
      <c r="J24" s="10"/>
    </row>
    <row r="25" ht="12.75">
      <c r="B25" s="7" t="s">
        <v>12</v>
      </c>
    </row>
    <row r="27" ht="12.75">
      <c r="B27" s="1" t="s">
        <v>13</v>
      </c>
    </row>
    <row r="28" ht="12.75">
      <c r="B28" s="1" t="s">
        <v>14</v>
      </c>
    </row>
    <row r="29" ht="24" customHeight="1"/>
    <row r="30" spans="2:7" s="72" customFormat="1" ht="10.5">
      <c r="B30" s="71" t="s">
        <v>15</v>
      </c>
      <c r="C30" s="71"/>
      <c r="D30" s="71"/>
      <c r="E30" s="71"/>
      <c r="F30" s="71"/>
      <c r="G30" s="71"/>
    </row>
    <row r="31" spans="2:4" s="72" customFormat="1" ht="10.5">
      <c r="B31" s="71" t="s">
        <v>16</v>
      </c>
      <c r="C31" s="71"/>
      <c r="D31" s="71"/>
    </row>
    <row r="32" ht="17.25" customHeight="1">
      <c r="B32" s="71" t="s">
        <v>17</v>
      </c>
    </row>
    <row r="33" spans="2:5" ht="17.25" customHeight="1">
      <c r="B33" s="73" t="s">
        <v>18</v>
      </c>
      <c r="C33" s="8"/>
      <c r="D33" s="8"/>
      <c r="E33" s="8"/>
    </row>
    <row r="34" ht="12.75">
      <c r="B34" s="71" t="s">
        <v>19</v>
      </c>
    </row>
    <row r="35" ht="12.75">
      <c r="B35" s="71" t="s">
        <v>20</v>
      </c>
    </row>
  </sheetData>
  <sheetProtection sheet="1" objects="1" scenarios="1"/>
  <mergeCells count="4">
    <mergeCell ref="B21:J21"/>
    <mergeCell ref="B24:J24"/>
    <mergeCell ref="B14:J14"/>
    <mergeCell ref="B18:J18"/>
  </mergeCells>
  <hyperlinks>
    <hyperlink ref="B14" location="Calculation!A1" display="Calculation!A1"/>
    <hyperlink ref="B18" location="Calculation!A20" display="Calculation!A20"/>
    <hyperlink ref="B14:J14" location="Calculation!A1" display="Will help you to determine the face values based on a given contract amount"/>
    <hyperlink ref="B18:J18" location="Calculation!A20" display="Will help you to discount notes with known face values and maturities:"/>
  </hyperlinks>
  <printOptions/>
  <pageMargins left="0.64" right="0.61" top="0.54" bottom="0.86" header="0.51" footer="0.51"/>
  <pageSetup horizontalDpi="300" verticalDpi="300" orientation="portrait" paperSize="9"/>
  <headerFooter alignWithMargins="0">
    <oddFooter>&amp;LVEFI - The Association of Forfaiters in Switzerland&amp;Rwww.forfaitswiss.ch</oddFooter>
  </headerFooter>
  <rowBreaks count="1" manualBreakCount="1">
    <brk id="5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49"/>
  <sheetViews>
    <sheetView tabSelected="1" zoomScale="90" zoomScaleNormal="90" workbookViewId="0" topLeftCell="A1">
      <selection activeCell="B3" sqref="B3"/>
    </sheetView>
  </sheetViews>
  <sheetFormatPr defaultColWidth="11.421875" defaultRowHeight="12.75"/>
  <cols>
    <col min="1" max="1" width="21.28125" style="11" customWidth="1"/>
    <col min="2" max="2" width="16.28125" style="11" customWidth="1"/>
    <col min="3" max="3" width="15.7109375" style="11" customWidth="1"/>
    <col min="4" max="4" width="13.421875" style="12" customWidth="1"/>
    <col min="5" max="5" width="13.421875" style="11" customWidth="1"/>
    <col min="6" max="6" width="14.00390625" style="11" customWidth="1"/>
    <col min="7" max="7" width="12.7109375" style="11" customWidth="1"/>
    <col min="8" max="8" width="12.8515625" style="11" customWidth="1"/>
    <col min="9" max="9" width="18.28125" style="11" customWidth="1"/>
    <col min="10" max="10" width="12.00390625" style="11" hidden="1" customWidth="1"/>
    <col min="11" max="11" width="18.28125" style="11" hidden="1" customWidth="1"/>
    <col min="12" max="12" width="11.7109375" style="13" hidden="1" customWidth="1"/>
    <col min="13" max="13" width="14.00390625" style="13" hidden="1" customWidth="1"/>
    <col min="14" max="14" width="9.140625" style="13" hidden="1" customWidth="1"/>
    <col min="15" max="15" width="6.421875" style="13" hidden="1" customWidth="1"/>
    <col min="16" max="16" width="9.140625" style="13" hidden="1" customWidth="1"/>
    <col min="17" max="17" width="15.421875" style="13" hidden="1" customWidth="1"/>
    <col min="18" max="18" width="16.140625" style="13" hidden="1" customWidth="1"/>
    <col min="19" max="19" width="13.8515625" style="13" hidden="1" customWidth="1"/>
    <col min="20" max="20" width="14.57421875" style="13" hidden="1" customWidth="1"/>
    <col min="21" max="23" width="9.140625" style="13" hidden="1" customWidth="1"/>
    <col min="24" max="24" width="11.28125" style="13" hidden="1" customWidth="1"/>
    <col min="25" max="25" width="11.421875" style="13" hidden="1" customWidth="1"/>
    <col min="26" max="27" width="9.140625" style="13" hidden="1" customWidth="1"/>
    <col min="28" max="28" width="9.140625" style="11" hidden="1" customWidth="1"/>
    <col min="29" max="16384" width="9.140625" style="11" customWidth="1"/>
  </cols>
  <sheetData>
    <row r="1" spans="1:9" ht="24.75" customHeight="1" thickBot="1">
      <c r="A1" s="14" t="s">
        <v>21</v>
      </c>
      <c r="B1" s="14"/>
      <c r="C1" s="14"/>
      <c r="D1" s="15"/>
      <c r="E1" s="16"/>
      <c r="F1" s="16"/>
      <c r="G1" s="16"/>
      <c r="H1" s="16"/>
      <c r="I1" s="17" t="s">
        <v>22</v>
      </c>
    </row>
    <row r="2" spans="2:9" ht="12" customHeight="1">
      <c r="B2" s="18"/>
      <c r="D2" s="19"/>
      <c r="H2" s="18"/>
      <c r="I2" s="20"/>
    </row>
    <row r="3" spans="1:9" ht="14.25">
      <c r="A3" s="12" t="s">
        <v>23</v>
      </c>
      <c r="B3" s="21">
        <v>0</v>
      </c>
      <c r="C3" s="12" t="s">
        <v>24</v>
      </c>
      <c r="D3" s="22">
        <f ca="1">TODAY()</f>
        <v>38915</v>
      </c>
      <c r="H3" s="23" t="str">
        <f>"365/"&amp;L46</f>
        <v>365/360</v>
      </c>
      <c r="I3" s="24" t="s">
        <v>25</v>
      </c>
    </row>
    <row r="4" spans="1:24" ht="14.25">
      <c r="A4" s="25" t="s">
        <v>26</v>
      </c>
      <c r="B4" s="26" t="s">
        <v>27</v>
      </c>
      <c r="C4" s="26" t="s">
        <v>28</v>
      </c>
      <c r="D4" s="25" t="s">
        <v>29</v>
      </c>
      <c r="E4" s="27" t="s">
        <v>30</v>
      </c>
      <c r="F4" s="26" t="s">
        <v>31</v>
      </c>
      <c r="M4" s="11" t="s">
        <v>32</v>
      </c>
      <c r="N4" s="11"/>
      <c r="O4" s="13" t="s">
        <v>33</v>
      </c>
      <c r="P4" s="13" t="s">
        <v>34</v>
      </c>
      <c r="Q4" s="11"/>
      <c r="R4" s="11" t="s">
        <v>35</v>
      </c>
      <c r="W4" s="11"/>
      <c r="X4" s="11"/>
    </row>
    <row r="5" spans="1:24" ht="14.25">
      <c r="A5" s="28"/>
      <c r="B5" s="12">
        <f aca="true" t="shared" si="0" ref="B5:B17">R5</f>
        <v>0</v>
      </c>
      <c r="C5" s="12">
        <f aca="true" t="shared" si="1" ref="C5:C17">SUM(A5:B5)</f>
        <v>0</v>
      </c>
      <c r="D5" s="29"/>
      <c r="E5" s="11">
        <f aca="true" t="shared" si="2" ref="E5:E17">SUM(O5:P5)</f>
        <v>0</v>
      </c>
      <c r="F5" s="30">
        <f aca="true" t="shared" si="3" ref="F5:F17">IF(D5&gt;$D$3,D5-$D$3+E5,0)</f>
        <v>0</v>
      </c>
      <c r="M5" s="12">
        <f>A18</f>
        <v>0</v>
      </c>
      <c r="N5" s="30"/>
      <c r="O5" s="31" t="str">
        <f aca="true" t="shared" si="4" ref="O5:O17">IF(AND(D5&gt;0,WEEKDAY(D5)=1),1," ")</f>
        <v> </v>
      </c>
      <c r="P5" s="31" t="str">
        <f aca="true" t="shared" si="5" ref="P5:P17">IF(AND(D5&gt;0,WEEKDAY(D5)=7),2," ")</f>
        <v> </v>
      </c>
      <c r="Q5" s="30"/>
      <c r="R5" s="11">
        <f>IF(M5&gt;0,M5*F5*$B$3/($L$46*100),0)</f>
        <v>0</v>
      </c>
      <c r="W5" s="11"/>
      <c r="X5" s="11"/>
    </row>
    <row r="6" spans="1:24" ht="14.25">
      <c r="A6" s="28"/>
      <c r="B6" s="12">
        <f t="shared" si="0"/>
        <v>0</v>
      </c>
      <c r="C6" s="12">
        <f t="shared" si="1"/>
        <v>0</v>
      </c>
      <c r="D6" s="29"/>
      <c r="E6" s="11">
        <f t="shared" si="2"/>
        <v>0</v>
      </c>
      <c r="F6" s="30">
        <f t="shared" si="3"/>
        <v>0</v>
      </c>
      <c r="M6" s="12">
        <f aca="true" t="shared" si="6" ref="M6:M17">M5-A5</f>
        <v>0</v>
      </c>
      <c r="N6" s="30"/>
      <c r="O6" s="31" t="str">
        <f t="shared" si="4"/>
        <v> </v>
      </c>
      <c r="P6" s="31" t="str">
        <f t="shared" si="5"/>
        <v> </v>
      </c>
      <c r="Q6" s="30"/>
      <c r="R6" s="11">
        <f aca="true" t="shared" si="7" ref="R6:R17">IF(M6&gt;0,M6*(F6-F5)*$B$3/($L$46*100),0)</f>
        <v>0</v>
      </c>
      <c r="W6" s="11"/>
      <c r="X6" s="11"/>
    </row>
    <row r="7" spans="1:24" ht="14.25">
      <c r="A7" s="28"/>
      <c r="B7" s="12">
        <f t="shared" si="0"/>
        <v>0</v>
      </c>
      <c r="C7" s="12">
        <f t="shared" si="1"/>
        <v>0</v>
      </c>
      <c r="D7" s="29"/>
      <c r="E7" s="11">
        <f t="shared" si="2"/>
        <v>0</v>
      </c>
      <c r="F7" s="30">
        <f t="shared" si="3"/>
        <v>0</v>
      </c>
      <c r="M7" s="12">
        <f t="shared" si="6"/>
        <v>0</v>
      </c>
      <c r="N7" s="30"/>
      <c r="O7" s="31" t="str">
        <f t="shared" si="4"/>
        <v> </v>
      </c>
      <c r="P7" s="31" t="str">
        <f t="shared" si="5"/>
        <v> </v>
      </c>
      <c r="Q7" s="30"/>
      <c r="R7" s="11">
        <f t="shared" si="7"/>
        <v>0</v>
      </c>
      <c r="W7" s="11"/>
      <c r="X7" s="11"/>
    </row>
    <row r="8" spans="1:24" ht="14.25">
      <c r="A8" s="28"/>
      <c r="B8" s="12">
        <f t="shared" si="0"/>
        <v>0</v>
      </c>
      <c r="C8" s="12">
        <f t="shared" si="1"/>
        <v>0</v>
      </c>
      <c r="D8" s="29"/>
      <c r="E8" s="11">
        <f t="shared" si="2"/>
        <v>0</v>
      </c>
      <c r="F8" s="30">
        <f t="shared" si="3"/>
        <v>0</v>
      </c>
      <c r="M8" s="12">
        <f t="shared" si="6"/>
        <v>0</v>
      </c>
      <c r="N8" s="30"/>
      <c r="O8" s="31" t="str">
        <f t="shared" si="4"/>
        <v> </v>
      </c>
      <c r="P8" s="31" t="str">
        <f t="shared" si="5"/>
        <v> </v>
      </c>
      <c r="Q8" s="30"/>
      <c r="R8" s="11">
        <f t="shared" si="7"/>
        <v>0</v>
      </c>
      <c r="W8" s="11"/>
      <c r="X8" s="11"/>
    </row>
    <row r="9" spans="1:24" ht="14.25">
      <c r="A9" s="28"/>
      <c r="B9" s="12">
        <f t="shared" si="0"/>
        <v>0</v>
      </c>
      <c r="C9" s="12">
        <f t="shared" si="1"/>
        <v>0</v>
      </c>
      <c r="D9" s="29"/>
      <c r="E9" s="11">
        <f t="shared" si="2"/>
        <v>0</v>
      </c>
      <c r="F9" s="30">
        <f t="shared" si="3"/>
        <v>0</v>
      </c>
      <c r="M9" s="12">
        <f t="shared" si="6"/>
        <v>0</v>
      </c>
      <c r="N9" s="30"/>
      <c r="O9" s="31" t="str">
        <f t="shared" si="4"/>
        <v> </v>
      </c>
      <c r="P9" s="31" t="str">
        <f t="shared" si="5"/>
        <v> </v>
      </c>
      <c r="Q9" s="30"/>
      <c r="R9" s="11">
        <f t="shared" si="7"/>
        <v>0</v>
      </c>
      <c r="W9" s="11"/>
      <c r="X9" s="11"/>
    </row>
    <row r="10" spans="1:24" ht="14.25">
      <c r="A10" s="28"/>
      <c r="B10" s="12">
        <f t="shared" si="0"/>
        <v>0</v>
      </c>
      <c r="C10" s="12">
        <f t="shared" si="1"/>
        <v>0</v>
      </c>
      <c r="D10" s="29"/>
      <c r="E10" s="11">
        <f t="shared" si="2"/>
        <v>0</v>
      </c>
      <c r="F10" s="30">
        <f t="shared" si="3"/>
        <v>0</v>
      </c>
      <c r="M10" s="12">
        <f t="shared" si="6"/>
        <v>0</v>
      </c>
      <c r="N10" s="30"/>
      <c r="O10" s="31" t="str">
        <f t="shared" si="4"/>
        <v> </v>
      </c>
      <c r="P10" s="31" t="str">
        <f t="shared" si="5"/>
        <v> </v>
      </c>
      <c r="Q10" s="30"/>
      <c r="R10" s="11">
        <f t="shared" si="7"/>
        <v>0</v>
      </c>
      <c r="W10" s="11"/>
      <c r="X10" s="11"/>
    </row>
    <row r="11" spans="1:24" ht="14.25">
      <c r="A11" s="28"/>
      <c r="B11" s="12">
        <f t="shared" si="0"/>
        <v>0</v>
      </c>
      <c r="C11" s="12">
        <f t="shared" si="1"/>
        <v>0</v>
      </c>
      <c r="D11" s="29"/>
      <c r="E11" s="11">
        <f t="shared" si="2"/>
        <v>0</v>
      </c>
      <c r="F11" s="30">
        <f t="shared" si="3"/>
        <v>0</v>
      </c>
      <c r="M11" s="12">
        <f t="shared" si="6"/>
        <v>0</v>
      </c>
      <c r="N11" s="30"/>
      <c r="O11" s="31" t="str">
        <f t="shared" si="4"/>
        <v> </v>
      </c>
      <c r="P11" s="31" t="str">
        <f t="shared" si="5"/>
        <v> </v>
      </c>
      <c r="Q11" s="30"/>
      <c r="R11" s="11">
        <f t="shared" si="7"/>
        <v>0</v>
      </c>
      <c r="W11" s="11"/>
      <c r="X11" s="11"/>
    </row>
    <row r="12" spans="1:24" ht="14.25">
      <c r="A12" s="28"/>
      <c r="B12" s="12">
        <f t="shared" si="0"/>
        <v>0</v>
      </c>
      <c r="C12" s="12">
        <f t="shared" si="1"/>
        <v>0</v>
      </c>
      <c r="D12" s="29"/>
      <c r="E12" s="11">
        <f t="shared" si="2"/>
        <v>0</v>
      </c>
      <c r="F12" s="30">
        <f t="shared" si="3"/>
        <v>0</v>
      </c>
      <c r="M12" s="12">
        <f t="shared" si="6"/>
        <v>0</v>
      </c>
      <c r="N12" s="30"/>
      <c r="O12" s="31" t="str">
        <f t="shared" si="4"/>
        <v> </v>
      </c>
      <c r="P12" s="31" t="str">
        <f t="shared" si="5"/>
        <v> </v>
      </c>
      <c r="Q12" s="30"/>
      <c r="R12" s="11">
        <f t="shared" si="7"/>
        <v>0</v>
      </c>
      <c r="W12" s="11"/>
      <c r="X12" s="11"/>
    </row>
    <row r="13" spans="1:24" ht="14.25">
      <c r="A13" s="28"/>
      <c r="B13" s="12">
        <f t="shared" si="0"/>
        <v>0</v>
      </c>
      <c r="C13" s="12">
        <f t="shared" si="1"/>
        <v>0</v>
      </c>
      <c r="D13" s="29"/>
      <c r="E13" s="11">
        <f t="shared" si="2"/>
        <v>0</v>
      </c>
      <c r="F13" s="30">
        <f t="shared" si="3"/>
        <v>0</v>
      </c>
      <c r="M13" s="12">
        <f t="shared" si="6"/>
        <v>0</v>
      </c>
      <c r="N13" s="30"/>
      <c r="O13" s="31" t="str">
        <f t="shared" si="4"/>
        <v> </v>
      </c>
      <c r="P13" s="31" t="str">
        <f t="shared" si="5"/>
        <v> </v>
      </c>
      <c r="Q13" s="30"/>
      <c r="R13" s="11">
        <f t="shared" si="7"/>
        <v>0</v>
      </c>
      <c r="W13" s="11"/>
      <c r="X13" s="11"/>
    </row>
    <row r="14" spans="1:24" ht="14.25">
      <c r="A14" s="28"/>
      <c r="B14" s="12">
        <f t="shared" si="0"/>
        <v>0</v>
      </c>
      <c r="C14" s="12">
        <f t="shared" si="1"/>
        <v>0</v>
      </c>
      <c r="D14" s="29"/>
      <c r="E14" s="11">
        <f t="shared" si="2"/>
        <v>0</v>
      </c>
      <c r="F14" s="30">
        <f t="shared" si="3"/>
        <v>0</v>
      </c>
      <c r="M14" s="12">
        <f t="shared" si="6"/>
        <v>0</v>
      </c>
      <c r="N14" s="30"/>
      <c r="O14" s="31" t="str">
        <f t="shared" si="4"/>
        <v> </v>
      </c>
      <c r="P14" s="31" t="str">
        <f t="shared" si="5"/>
        <v> </v>
      </c>
      <c r="Q14" s="30"/>
      <c r="R14" s="11">
        <f t="shared" si="7"/>
        <v>0</v>
      </c>
      <c r="W14" s="11"/>
      <c r="X14" s="11"/>
    </row>
    <row r="15" spans="1:24" ht="14.25">
      <c r="A15" s="28"/>
      <c r="B15" s="12">
        <f t="shared" si="0"/>
        <v>0</v>
      </c>
      <c r="C15" s="12">
        <f t="shared" si="1"/>
        <v>0</v>
      </c>
      <c r="D15" s="29"/>
      <c r="E15" s="11">
        <f t="shared" si="2"/>
        <v>0</v>
      </c>
      <c r="F15" s="30">
        <f t="shared" si="3"/>
        <v>0</v>
      </c>
      <c r="M15" s="12">
        <f t="shared" si="6"/>
        <v>0</v>
      </c>
      <c r="N15" s="30"/>
      <c r="O15" s="31" t="str">
        <f t="shared" si="4"/>
        <v> </v>
      </c>
      <c r="P15" s="31" t="str">
        <f t="shared" si="5"/>
        <v> </v>
      </c>
      <c r="Q15" s="30"/>
      <c r="R15" s="11">
        <f t="shared" si="7"/>
        <v>0</v>
      </c>
      <c r="W15" s="11"/>
      <c r="X15" s="11"/>
    </row>
    <row r="16" spans="1:24" ht="14.25">
      <c r="A16" s="28"/>
      <c r="B16" s="12">
        <f t="shared" si="0"/>
        <v>0</v>
      </c>
      <c r="C16" s="12">
        <f t="shared" si="1"/>
        <v>0</v>
      </c>
      <c r="D16" s="29"/>
      <c r="E16" s="11">
        <f t="shared" si="2"/>
        <v>0</v>
      </c>
      <c r="F16" s="30">
        <f t="shared" si="3"/>
        <v>0</v>
      </c>
      <c r="M16" s="12">
        <f t="shared" si="6"/>
        <v>0</v>
      </c>
      <c r="N16" s="30"/>
      <c r="O16" s="31" t="str">
        <f t="shared" si="4"/>
        <v> </v>
      </c>
      <c r="P16" s="31" t="str">
        <f t="shared" si="5"/>
        <v> </v>
      </c>
      <c r="Q16" s="30"/>
      <c r="R16" s="11">
        <f t="shared" si="7"/>
        <v>0</v>
      </c>
      <c r="W16" s="11"/>
      <c r="X16" s="11"/>
    </row>
    <row r="17" spans="1:24" ht="14.25">
      <c r="A17" s="28"/>
      <c r="B17" s="12">
        <f t="shared" si="0"/>
        <v>0</v>
      </c>
      <c r="C17" s="12">
        <f t="shared" si="1"/>
        <v>0</v>
      </c>
      <c r="D17" s="22"/>
      <c r="E17" s="11">
        <f t="shared" si="2"/>
        <v>0</v>
      </c>
      <c r="F17" s="30">
        <f t="shared" si="3"/>
        <v>0</v>
      </c>
      <c r="M17" s="12">
        <f t="shared" si="6"/>
        <v>0</v>
      </c>
      <c r="N17" s="30"/>
      <c r="O17" s="31" t="str">
        <f t="shared" si="4"/>
        <v> </v>
      </c>
      <c r="P17" s="31" t="str">
        <f t="shared" si="5"/>
        <v> </v>
      </c>
      <c r="Q17" s="30"/>
      <c r="R17" s="11">
        <f t="shared" si="7"/>
        <v>0</v>
      </c>
      <c r="W17" s="11"/>
      <c r="X17" s="11"/>
    </row>
    <row r="18" spans="1:3" ht="14.25">
      <c r="A18" s="32">
        <f>SUM(A5:A17)</f>
        <v>0</v>
      </c>
      <c r="B18" s="32">
        <f>SUM(B5:B17)</f>
        <v>0</v>
      </c>
      <c r="C18" s="32">
        <f>SUM(C5:C17)</f>
        <v>0</v>
      </c>
    </row>
    <row r="20" spans="1:27" ht="18.75" thickBot="1">
      <c r="A20" s="14" t="s">
        <v>36</v>
      </c>
      <c r="B20" s="14"/>
      <c r="C20" s="14" t="str">
        <f>IF(K28=2,K37,K36)</f>
        <v>Yield</v>
      </c>
      <c r="D20" s="33"/>
      <c r="E20" s="16"/>
      <c r="F20" s="16"/>
      <c r="G20" s="16"/>
      <c r="H20" s="16"/>
      <c r="I20" s="17" t="s">
        <v>22</v>
      </c>
      <c r="J20" s="34" t="s">
        <v>37</v>
      </c>
      <c r="K20" s="13" t="s">
        <v>38</v>
      </c>
      <c r="M20" s="35" t="s">
        <v>39</v>
      </c>
      <c r="N20" s="36">
        <v>1</v>
      </c>
      <c r="O20" s="13" t="s">
        <v>40</v>
      </c>
      <c r="Q20" s="13" t="s">
        <v>41</v>
      </c>
      <c r="Z20" s="11"/>
      <c r="AA20" s="11"/>
    </row>
    <row r="21" spans="2:27" ht="12.75" customHeight="1">
      <c r="B21" s="19"/>
      <c r="C21" s="18"/>
      <c r="D21" s="37"/>
      <c r="E21" s="18"/>
      <c r="F21" s="18"/>
      <c r="G21" s="18"/>
      <c r="I21" s="20"/>
      <c r="J21" s="13"/>
      <c r="K21" s="13">
        <v>0</v>
      </c>
      <c r="L21" s="13">
        <v>0</v>
      </c>
      <c r="N21" s="36" t="str">
        <f>J20</f>
        <v>31.12.2099</v>
      </c>
      <c r="Q21" s="13" t="b">
        <v>1</v>
      </c>
      <c r="Z21" s="11"/>
      <c r="AA21" s="11"/>
    </row>
    <row r="22" spans="1:27" ht="14.25">
      <c r="A22" s="38" t="s">
        <v>42</v>
      </c>
      <c r="B22" s="69"/>
      <c r="C22" s="70"/>
      <c r="D22" s="70"/>
      <c r="E22" s="70"/>
      <c r="F22" s="70"/>
      <c r="G22" s="70"/>
      <c r="H22" s="39" t="s">
        <v>43</v>
      </c>
      <c r="I22" s="40"/>
      <c r="J22" s="13"/>
      <c r="K22" s="41" t="b">
        <v>1</v>
      </c>
      <c r="Z22" s="11"/>
      <c r="AA22" s="11"/>
    </row>
    <row r="23" spans="1:27" ht="14.25">
      <c r="A23" s="38" t="s">
        <v>44</v>
      </c>
      <c r="B23" s="69"/>
      <c r="C23" s="70"/>
      <c r="D23" s="70"/>
      <c r="E23" s="70"/>
      <c r="F23" s="70"/>
      <c r="G23" s="70"/>
      <c r="H23" s="39" t="s">
        <v>45</v>
      </c>
      <c r="I23" s="42"/>
      <c r="J23" s="13"/>
      <c r="K23" s="13"/>
      <c r="Z23" s="11"/>
      <c r="AA23" s="11"/>
    </row>
    <row r="24" spans="1:27" ht="14.25">
      <c r="A24" s="38" t="s">
        <v>46</v>
      </c>
      <c r="B24" s="22">
        <f ca="1">TODAY()</f>
        <v>38915</v>
      </c>
      <c r="D24" s="43" t="s">
        <v>47</v>
      </c>
      <c r="E24" s="40">
        <v>0</v>
      </c>
      <c r="F24" s="39" t="s">
        <v>48</v>
      </c>
      <c r="G24" s="40">
        <v>0</v>
      </c>
      <c r="H24" s="11" t="s">
        <v>49</v>
      </c>
      <c r="J24" s="13"/>
      <c r="K24" s="13"/>
      <c r="O24" s="13" t="str">
        <f>"Current net proceeds: "&amp;I27</f>
        <v>Current net proceeds: 0</v>
      </c>
      <c r="Z24" s="11"/>
      <c r="AA24" s="11"/>
    </row>
    <row r="25" spans="1:27" ht="14.25">
      <c r="A25" s="38" t="s">
        <v>50</v>
      </c>
      <c r="B25" s="22">
        <f ca="1">TODAY()+2</f>
        <v>38917</v>
      </c>
      <c r="C25" s="44">
        <f>IF(WEEKDAY(B25)=1,"Sunday!",IF(WEEKDAY(B25)=7,"Saturday!",""))</f>
      </c>
      <c r="D25" s="43" t="s">
        <v>51</v>
      </c>
      <c r="E25" s="45">
        <v>0</v>
      </c>
      <c r="F25" s="39" t="s">
        <v>52</v>
      </c>
      <c r="G25" s="46">
        <v>0</v>
      </c>
      <c r="H25" s="11" t="s">
        <v>53</v>
      </c>
      <c r="I25" s="47">
        <f>IF(W27&gt;0,W27/(J25/100)/365,0)</f>
        <v>0</v>
      </c>
      <c r="J25" s="48">
        <f>SUM(A30:A42)</f>
        <v>0</v>
      </c>
      <c r="K25" s="13" t="s">
        <v>54</v>
      </c>
      <c r="M25" s="13" t="s">
        <v>55</v>
      </c>
      <c r="Z25" s="11"/>
      <c r="AA25" s="11"/>
    </row>
    <row r="26" spans="1:27" ht="13.5" customHeight="1">
      <c r="A26" s="38" t="s">
        <v>56</v>
      </c>
      <c r="B26" s="49">
        <f>IF($K$42&gt;1,IF($K$42&gt;2,,G27),G26)</f>
        <v>0</v>
      </c>
      <c r="D26" s="43" t="s">
        <v>57</v>
      </c>
      <c r="E26" s="75">
        <f>IF(NOT(G26=""),IF($K$42&gt;3,"Ind. Note!",E25+B26),E25)</f>
        <v>0</v>
      </c>
      <c r="F26" s="39" t="s">
        <v>58</v>
      </c>
      <c r="G26" s="39">
        <f>IF(J25&gt;0,(X27/M26)*$L$46/(J25/100),0)</f>
        <v>0</v>
      </c>
      <c r="H26" s="39" t="s">
        <v>28</v>
      </c>
      <c r="I26" s="76">
        <f>SUM(A30:A42)</f>
        <v>0</v>
      </c>
      <c r="J26" s="48">
        <f>SUM(E30:E42)</f>
        <v>0</v>
      </c>
      <c r="K26" s="13" t="s">
        <v>59</v>
      </c>
      <c r="M26" s="36">
        <f>IF(J25&gt;0,W27/(J25/100),0)</f>
        <v>0</v>
      </c>
      <c r="Z26" s="11"/>
      <c r="AA26" s="11"/>
    </row>
    <row r="27" spans="1:27" ht="13.5" customHeight="1">
      <c r="A27" s="39" t="str">
        <f>LOOKUP(K28,J36:J37,K36:K37)</f>
        <v>Yield</v>
      </c>
      <c r="C27" s="50" t="str">
        <f>LOOKUP(K29,J32:J35,K32:K35)</f>
        <v>semi-annually compounded</v>
      </c>
      <c r="D27" s="51"/>
      <c r="F27" s="39" t="s">
        <v>60</v>
      </c>
      <c r="G27" s="11">
        <f>IF(M26&gt;1825,FORECAST(M26,$I$44:$I$45,$Z$45:$Z$46),IF(M26&gt;1460,FORECAST(M26,$I$44:$I$45,$Z$45:$Z$46),IF(M26&gt;1095,FORECAST(M26,$I$43:$I$44,$Z$44:$Z$45),IF(M26&gt;730,FORECAST(M26,$I$42:$I$43,$Z$43:$Z$44),IF(M26&gt;365,FORECAST(M26,$I$41:$I$42,$Z$42:$Z$43),IF(M26&gt;334,FORECAST(M26,$I$40:$I$41,$Z$41:$Z$42),IF(M26&gt;304,FORECAST(M26,$I$39:$I$40,$Z$40:$Z$41),AA28)))))))</f>
        <v>0</v>
      </c>
      <c r="H27" s="39" t="s">
        <v>61</v>
      </c>
      <c r="I27" s="77">
        <f>SUM(F30:F42)-F46</f>
        <v>0</v>
      </c>
      <c r="J27" s="48"/>
      <c r="K27" s="13"/>
      <c r="W27" s="13">
        <f>SUM(W30:W42)</f>
        <v>0</v>
      </c>
      <c r="X27" s="13">
        <f>SUM(X30:X42)</f>
        <v>0</v>
      </c>
      <c r="Y27" s="13">
        <f>SUM(Y30:Y42)</f>
        <v>0</v>
      </c>
      <c r="Z27" s="11"/>
      <c r="AA27" s="11"/>
    </row>
    <row r="28" spans="2:28" ht="14.25">
      <c r="B28" s="12"/>
      <c r="D28" s="52" t="str">
        <f>IF(K28=2,"equivalent Straight Discount rate:","")</f>
        <v>equivalent Straight Discount rate:</v>
      </c>
      <c r="E28" s="53">
        <f>IF(J25&gt;0,IF(K28=2,(J26*100/M26)/J25*$L$46,L22),"")</f>
      </c>
      <c r="H28" s="11">
        <f>IF(F46&gt;0,"(fees deducted as below)","")</f>
      </c>
      <c r="I28" s="19"/>
      <c r="J28" s="48"/>
      <c r="K28" s="13">
        <v>2</v>
      </c>
      <c r="Z28" s="11"/>
      <c r="AA28" s="11">
        <f>IF(M26&gt;274,FORECAST(M26,$I$38:$I$39,$Z$39:$Z$40),IF(M26&gt;243,FORECAST(M26,$I$37:$I$38,$Z$38:$Z$39),IF(M26&gt;213,FORECAST(M26,$I$36:$I$37,$Z$37:$Z$38),IF(M26&gt;183,FORECAST(M26,$I$35:$I$36,$Z$36:$Z$37),IF(M26&gt;152,FORECAST(M26,$I$34:$I$35,$Z$35:$Z$36),IF(M26&gt;122,FORECAST(M26,$I$33:$I$34,$Z$34:$Z$35),AB28))))))</f>
        <v>0</v>
      </c>
      <c r="AB28" s="11">
        <f>IF(M26&gt;92,FORECAST(M26,$I$32:$I$33,$Z$33:$Z$34),IF(M26&gt;61,FORECAST(M26,$I$31:$I$32,$Z$32:$Z$33),IF(M26&gt;30,FORECAST(M26,$I$30:$I$31,$Z$31:$Z$32),IF(M26&lt;1,0,$I$30))))</f>
        <v>0</v>
      </c>
    </row>
    <row r="29" spans="1:27" ht="14.25">
      <c r="A29" s="11" t="s">
        <v>28</v>
      </c>
      <c r="B29" s="11" t="s">
        <v>29</v>
      </c>
      <c r="C29" s="54" t="s">
        <v>30</v>
      </c>
      <c r="D29" s="55" t="s">
        <v>31</v>
      </c>
      <c r="E29" s="18" t="s">
        <v>62</v>
      </c>
      <c r="F29" s="18" t="s">
        <v>63</v>
      </c>
      <c r="G29" s="18" t="s">
        <v>64</v>
      </c>
      <c r="H29" s="18" t="s">
        <v>65</v>
      </c>
      <c r="I29" s="18"/>
      <c r="J29" s="13"/>
      <c r="K29" s="13">
        <v>2</v>
      </c>
      <c r="N29" s="13" t="s">
        <v>66</v>
      </c>
      <c r="O29" s="13" t="s">
        <v>67</v>
      </c>
      <c r="P29" s="13" t="s">
        <v>68</v>
      </c>
      <c r="Q29" s="13" t="s">
        <v>69</v>
      </c>
      <c r="R29" s="13" t="s">
        <v>70</v>
      </c>
      <c r="S29" s="13" t="s">
        <v>71</v>
      </c>
      <c r="T29" s="13" t="s">
        <v>72</v>
      </c>
      <c r="U29" s="13" t="s">
        <v>33</v>
      </c>
      <c r="V29" s="13" t="s">
        <v>34</v>
      </c>
      <c r="W29" s="13" t="s">
        <v>73</v>
      </c>
      <c r="X29" s="13" t="s">
        <v>35</v>
      </c>
      <c r="Y29" s="13" t="s">
        <v>74</v>
      </c>
      <c r="Z29" s="11"/>
      <c r="AA29" s="11" t="s">
        <v>75</v>
      </c>
    </row>
    <row r="30" spans="1:28" ht="14.25">
      <c r="A30" s="56"/>
      <c r="B30" s="57"/>
      <c r="C30" s="11">
        <f aca="true" t="shared" si="8" ref="C30:C42">SUM(U30:V30)</f>
        <v>0</v>
      </c>
      <c r="D30" s="30">
        <f aca="true" t="shared" si="9" ref="D30:D42">IF(B30&gt;$B$25,B30-$B$25+$G$25+C30,0)</f>
        <v>0</v>
      </c>
      <c r="E30" s="12">
        <f aca="true" t="shared" si="10" ref="E30:E42">A30-F30</f>
        <v>0</v>
      </c>
      <c r="F30" s="12">
        <f>ROUND(IF($K$30=0,0,IF($K$30&gt;1,IF($K$30&gt;3,IF($K$30&gt;4,IF($K$30&gt;5,A30/#REF!,A30/#REF!),A30/R30),A30/S30),A30*T30)),2)</f>
        <v>0</v>
      </c>
      <c r="G30" s="11">
        <f aca="true" t="shared" si="11" ref="G30:G42">IF(D30&gt;1825,FORECAST(D30,$I$44:$I$45,$Z$45:$Z$46),IF(D30&gt;1460,FORECAST(D30,$I$44:$I$45,$Z$45:$Z$46),IF(D30&gt;1095,FORECAST(D30,$I$43:$I$44,$Z$44:$Z$45),IF(D30&gt;730,FORECAST(D30,$I$42:$I$43,$Z$43:$Z$44),IF(D30&gt;365,FORECAST(D30,$I$41:$I$42,$Z$42:$Z$43),IF(D30&gt;334,FORECAST(D30,$I$40:$I$41,$Z$41:$Z$42),IF(D30&gt;304,FORECAST(D30,$I$39:$I$40,$Z$40:$Z$41),AA30)))))))</f>
        <v>0</v>
      </c>
      <c r="H30" s="39" t="s">
        <v>76</v>
      </c>
      <c r="I30" s="58">
        <v>0</v>
      </c>
      <c r="J30" s="13"/>
      <c r="K30" s="13">
        <f>IF(N20&lt;0,0,IF(K28=1,K28,K29+K28))</f>
        <v>4</v>
      </c>
      <c r="N30" s="13">
        <f aca="true" t="shared" si="12" ref="N30:N42">TRUNC(D30/365)</f>
        <v>0</v>
      </c>
      <c r="O30" s="13">
        <f aca="true" t="shared" si="13" ref="O30:O42">D30-(N30*365)</f>
        <v>0</v>
      </c>
      <c r="P30" s="13">
        <f aca="true" t="shared" si="14" ref="P30:P42">TRUNC(O30/183)+N30</f>
        <v>0</v>
      </c>
      <c r="Q30" s="13">
        <f aca="true" t="shared" si="15" ref="Q30:Q42">IF(O30&gt;182,O30-183,O30)</f>
        <v>0</v>
      </c>
      <c r="R30" s="59">
        <f aca="true" t="shared" si="16" ref="R30:R42">(POWER(1+IF($K$42=4,G30+$E$25,$E$26)/100*183/$L$46,P30)*(POWER(1+IF($K$42=4,G30+$E$25,$E$26)/100*182/$L$46,N30)*(1+IF($K$42=4,G30+$E$25,$E$26)/100*Q30/$L$46)))</f>
        <v>1</v>
      </c>
      <c r="S30" s="59">
        <f aca="true" t="shared" si="17" ref="S30:S42">(POWER(1+IF($K$42=4,G30+$E$25,$E$26)/100*365/$L$46,N30)*(1+IF($K$42=4,G30+$E$25,$E$26)/100*O30/$L$46))</f>
        <v>1</v>
      </c>
      <c r="T30" s="59">
        <f aca="true" t="shared" si="18" ref="T30:T42">(1-IF($K$42=4,G30+$E$25,$E$26)/100*D30/$L$46)</f>
        <v>1</v>
      </c>
      <c r="U30" s="31" t="str">
        <f aca="true" t="shared" si="19" ref="U30:U42">IF(AND(B30&gt;0,WEEKDAY(B30)=1),1," ")</f>
        <v> </v>
      </c>
      <c r="V30" s="31" t="str">
        <f aca="true" t="shared" si="20" ref="V30:V42">IF(AND(B30&gt;0,WEEKDAY(B30)=7),2," ")</f>
        <v> </v>
      </c>
      <c r="W30" s="13">
        <f aca="true" t="shared" si="21" ref="W30:W42">A30/100*D30</f>
        <v>0</v>
      </c>
      <c r="X30" s="13">
        <f aca="true" t="shared" si="22" ref="X30:X42">(A30/100*G30)/$L$46*D30</f>
        <v>0</v>
      </c>
      <c r="Y30" s="13">
        <f aca="true" t="shared" si="23" ref="Y30:Y42">A30/100*G30</f>
        <v>0</v>
      </c>
      <c r="Z30" s="11"/>
      <c r="AA30" s="11">
        <f aca="true" t="shared" si="24" ref="AA30:AA42">IF(D30&gt;274,FORECAST(D30,$I$38:$I$39,$Z$39:$Z$40),IF(D30&gt;243,FORECAST(D30,$I$37:$I$38,$Z$38:$Z$39),IF(D30&gt;213,FORECAST(D30,$I$36:$I$37,$Z$37:$Z$38),IF(D30&gt;183,FORECAST(D30,$I$35:$I$36,$Z$36:$Z$37),IF(D30&gt;152,FORECAST(D30,$I$34:$I$35,$Z$35:$Z$36),IF(D30&gt;122,FORECAST(D30,$I$33:$I$34,$Z$34:$Z$35),AB30))))))</f>
        <v>0</v>
      </c>
      <c r="AB30" s="11">
        <f aca="true" t="shared" si="25" ref="AB30:AB42">IF(D30&gt;92,FORECAST(D30,$I$32:$I$33,$Z$33:$Z$34),IF(D30&gt;61,FORECAST(D30,$I$31:$I$32,$Z$32:$Z$33),IF(D30&gt;30,FORECAST(D30,$I$30:$I$31,$Z$31:$Z$32),IF(D30&lt;1,0,$I$30))))</f>
        <v>0</v>
      </c>
    </row>
    <row r="31" spans="1:28" ht="14.25">
      <c r="A31" s="28"/>
      <c r="B31" s="60"/>
      <c r="C31" s="11">
        <f t="shared" si="8"/>
        <v>0</v>
      </c>
      <c r="D31" s="30">
        <f t="shared" si="9"/>
        <v>0</v>
      </c>
      <c r="E31" s="12">
        <f t="shared" si="10"/>
        <v>0</v>
      </c>
      <c r="F31" s="12">
        <f>ROUND(IF($K$30=0,0,IF($K$30&gt;1,IF($K$30&gt;3,IF($K$30&gt;4,IF($K$30&gt;5,A31/#REF!,A31/#REF!),A31/R31),A31/S31),A31*T31)),2)</f>
        <v>0</v>
      </c>
      <c r="G31" s="11">
        <f t="shared" si="11"/>
        <v>0</v>
      </c>
      <c r="H31" s="39" t="s">
        <v>77</v>
      </c>
      <c r="I31" s="58">
        <v>0</v>
      </c>
      <c r="J31" s="13"/>
      <c r="K31" s="13"/>
      <c r="N31" s="13">
        <f t="shared" si="12"/>
        <v>0</v>
      </c>
      <c r="O31" s="13">
        <f t="shared" si="13"/>
        <v>0</v>
      </c>
      <c r="P31" s="13">
        <f t="shared" si="14"/>
        <v>0</v>
      </c>
      <c r="Q31" s="13">
        <f t="shared" si="15"/>
        <v>0</v>
      </c>
      <c r="R31" s="59">
        <f t="shared" si="16"/>
        <v>1</v>
      </c>
      <c r="S31" s="59">
        <f t="shared" si="17"/>
        <v>1</v>
      </c>
      <c r="T31" s="59">
        <f t="shared" si="18"/>
        <v>1</v>
      </c>
      <c r="U31" s="31" t="str">
        <f t="shared" si="19"/>
        <v> </v>
      </c>
      <c r="V31" s="31" t="str">
        <f t="shared" si="20"/>
        <v> </v>
      </c>
      <c r="W31" s="13">
        <f t="shared" si="21"/>
        <v>0</v>
      </c>
      <c r="X31" s="13">
        <f t="shared" si="22"/>
        <v>0</v>
      </c>
      <c r="Y31" s="13">
        <f t="shared" si="23"/>
        <v>0</v>
      </c>
      <c r="Z31" s="11">
        <v>30</v>
      </c>
      <c r="AA31" s="11">
        <f t="shared" si="24"/>
        <v>0</v>
      </c>
      <c r="AB31" s="11">
        <f t="shared" si="25"/>
        <v>0</v>
      </c>
    </row>
    <row r="32" spans="1:28" ht="14.25">
      <c r="A32" s="28"/>
      <c r="B32" s="60"/>
      <c r="C32" s="11">
        <f t="shared" si="8"/>
        <v>0</v>
      </c>
      <c r="D32" s="30">
        <f t="shared" si="9"/>
        <v>0</v>
      </c>
      <c r="E32" s="12">
        <f t="shared" si="10"/>
        <v>0</v>
      </c>
      <c r="F32" s="12">
        <f>ROUND(IF($K$30=0,0,IF($K$30&gt;1,IF($K$30&gt;3,IF($K$30&gt;4,IF($K$30&gt;5,A32/#REF!,A32/#REF!),A32/R32),A32/S32),A32*T32)),2)</f>
        <v>0</v>
      </c>
      <c r="G32" s="11">
        <f t="shared" si="11"/>
        <v>0</v>
      </c>
      <c r="H32" s="39" t="s">
        <v>78</v>
      </c>
      <c r="I32" s="58">
        <v>0</v>
      </c>
      <c r="J32" s="13">
        <v>1</v>
      </c>
      <c r="K32" s="13" t="str">
        <f>IF(K28=2,"annually compounded","")</f>
        <v>annually compounded</v>
      </c>
      <c r="N32" s="13">
        <f t="shared" si="12"/>
        <v>0</v>
      </c>
      <c r="O32" s="13">
        <f t="shared" si="13"/>
        <v>0</v>
      </c>
      <c r="P32" s="13">
        <f t="shared" si="14"/>
        <v>0</v>
      </c>
      <c r="Q32" s="13">
        <f t="shared" si="15"/>
        <v>0</v>
      </c>
      <c r="R32" s="59">
        <f t="shared" si="16"/>
        <v>1</v>
      </c>
      <c r="S32" s="59">
        <f t="shared" si="17"/>
        <v>1</v>
      </c>
      <c r="T32" s="59">
        <f t="shared" si="18"/>
        <v>1</v>
      </c>
      <c r="U32" s="31" t="str">
        <f t="shared" si="19"/>
        <v> </v>
      </c>
      <c r="V32" s="31" t="str">
        <f t="shared" si="20"/>
        <v> </v>
      </c>
      <c r="W32" s="13">
        <f t="shared" si="21"/>
        <v>0</v>
      </c>
      <c r="X32" s="13">
        <f t="shared" si="22"/>
        <v>0</v>
      </c>
      <c r="Y32" s="13">
        <f t="shared" si="23"/>
        <v>0</v>
      </c>
      <c r="Z32" s="11">
        <v>61</v>
      </c>
      <c r="AA32" s="11">
        <f t="shared" si="24"/>
        <v>0</v>
      </c>
      <c r="AB32" s="11">
        <f t="shared" si="25"/>
        <v>0</v>
      </c>
    </row>
    <row r="33" spans="1:28" ht="14.25">
      <c r="A33" s="28"/>
      <c r="B33" s="60"/>
      <c r="C33" s="11">
        <f t="shared" si="8"/>
        <v>0</v>
      </c>
      <c r="D33" s="30">
        <f t="shared" si="9"/>
        <v>0</v>
      </c>
      <c r="E33" s="12">
        <f t="shared" si="10"/>
        <v>0</v>
      </c>
      <c r="F33" s="12">
        <f>ROUND(IF($K$30=0,0,IF($K$30&gt;1,IF($K$30&gt;3,IF($K$30&gt;4,IF($K$30&gt;5,A33/#REF!,A33/#REF!),A33/R33),A33/S33),A33*T33)),2)</f>
        <v>0</v>
      </c>
      <c r="G33" s="11">
        <f t="shared" si="11"/>
        <v>0</v>
      </c>
      <c r="H33" s="39" t="s">
        <v>79</v>
      </c>
      <c r="I33" s="58">
        <v>0</v>
      </c>
      <c r="J33" s="13">
        <v>2</v>
      </c>
      <c r="K33" s="13" t="str">
        <f>IF(K28=2,"semi-annually compounded","")</f>
        <v>semi-annually compounded</v>
      </c>
      <c r="N33" s="13">
        <f t="shared" si="12"/>
        <v>0</v>
      </c>
      <c r="O33" s="13">
        <f t="shared" si="13"/>
        <v>0</v>
      </c>
      <c r="P33" s="13">
        <f t="shared" si="14"/>
        <v>0</v>
      </c>
      <c r="Q33" s="13">
        <f t="shared" si="15"/>
        <v>0</v>
      </c>
      <c r="R33" s="59">
        <f t="shared" si="16"/>
        <v>1</v>
      </c>
      <c r="S33" s="59">
        <f t="shared" si="17"/>
        <v>1</v>
      </c>
      <c r="T33" s="59">
        <f t="shared" si="18"/>
        <v>1</v>
      </c>
      <c r="U33" s="31" t="str">
        <f t="shared" si="19"/>
        <v> </v>
      </c>
      <c r="V33" s="31" t="str">
        <f t="shared" si="20"/>
        <v> </v>
      </c>
      <c r="W33" s="13">
        <f t="shared" si="21"/>
        <v>0</v>
      </c>
      <c r="X33" s="13">
        <f t="shared" si="22"/>
        <v>0</v>
      </c>
      <c r="Y33" s="13">
        <f t="shared" si="23"/>
        <v>0</v>
      </c>
      <c r="Z33" s="11">
        <v>92</v>
      </c>
      <c r="AA33" s="11">
        <f t="shared" si="24"/>
        <v>0</v>
      </c>
      <c r="AB33" s="11">
        <f t="shared" si="25"/>
        <v>0</v>
      </c>
    </row>
    <row r="34" spans="1:28" ht="14.25">
      <c r="A34" s="28"/>
      <c r="B34" s="60"/>
      <c r="C34" s="11">
        <f t="shared" si="8"/>
        <v>0</v>
      </c>
      <c r="D34" s="30">
        <f t="shared" si="9"/>
        <v>0</v>
      </c>
      <c r="E34" s="12">
        <f t="shared" si="10"/>
        <v>0</v>
      </c>
      <c r="F34" s="12">
        <f>ROUND(IF($K$30=0,0,IF($K$30&gt;1,IF($K$30&gt;3,IF($K$30&gt;4,IF($K$30&gt;5,A34/#REF!,A34/#REF!),A34/R34),A34/S34),A34*T34)),2)</f>
        <v>0</v>
      </c>
      <c r="G34" s="11">
        <f t="shared" si="11"/>
        <v>0</v>
      </c>
      <c r="H34" s="39" t="s">
        <v>80</v>
      </c>
      <c r="I34" s="58">
        <v>0</v>
      </c>
      <c r="J34" s="13">
        <v>3</v>
      </c>
      <c r="K34" s="13" t="str">
        <f>IF($K$28=2,"quarter-annually compounded","")</f>
        <v>quarter-annually compounded</v>
      </c>
      <c r="N34" s="13">
        <f t="shared" si="12"/>
        <v>0</v>
      </c>
      <c r="O34" s="13">
        <f t="shared" si="13"/>
        <v>0</v>
      </c>
      <c r="P34" s="13">
        <f t="shared" si="14"/>
        <v>0</v>
      </c>
      <c r="Q34" s="13">
        <f t="shared" si="15"/>
        <v>0</v>
      </c>
      <c r="R34" s="59">
        <f t="shared" si="16"/>
        <v>1</v>
      </c>
      <c r="S34" s="59">
        <f t="shared" si="17"/>
        <v>1</v>
      </c>
      <c r="T34" s="59">
        <f t="shared" si="18"/>
        <v>1</v>
      </c>
      <c r="U34" s="31" t="str">
        <f t="shared" si="19"/>
        <v> </v>
      </c>
      <c r="V34" s="31" t="str">
        <f t="shared" si="20"/>
        <v> </v>
      </c>
      <c r="W34" s="13">
        <f t="shared" si="21"/>
        <v>0</v>
      </c>
      <c r="X34" s="13">
        <f t="shared" si="22"/>
        <v>0</v>
      </c>
      <c r="Y34" s="13">
        <f t="shared" si="23"/>
        <v>0</v>
      </c>
      <c r="Z34" s="11">
        <v>122</v>
      </c>
      <c r="AA34" s="11">
        <f t="shared" si="24"/>
        <v>0</v>
      </c>
      <c r="AB34" s="11">
        <f t="shared" si="25"/>
        <v>0</v>
      </c>
    </row>
    <row r="35" spans="1:28" ht="14.25">
      <c r="A35" s="28"/>
      <c r="B35" s="60"/>
      <c r="C35" s="11">
        <f t="shared" si="8"/>
        <v>0</v>
      </c>
      <c r="D35" s="30">
        <f t="shared" si="9"/>
        <v>0</v>
      </c>
      <c r="E35" s="12">
        <f t="shared" si="10"/>
        <v>0</v>
      </c>
      <c r="F35" s="12">
        <f>ROUND(IF($K$30=0,0,IF($K$30&gt;1,IF($K$30&gt;3,IF($K$30&gt;4,IF($K$30&gt;5,A35/#REF!,A35/#REF!),A35/R35),A35/S35),A35*T35)),2)</f>
        <v>0</v>
      </c>
      <c r="G35" s="11">
        <f t="shared" si="11"/>
        <v>0</v>
      </c>
      <c r="H35" s="39" t="s">
        <v>81</v>
      </c>
      <c r="I35" s="58">
        <v>0</v>
      </c>
      <c r="J35" s="13">
        <v>4</v>
      </c>
      <c r="K35" s="13" t="str">
        <f>IF($K$28=2,"simple yield","")</f>
        <v>simple yield</v>
      </c>
      <c r="N35" s="13">
        <f t="shared" si="12"/>
        <v>0</v>
      </c>
      <c r="O35" s="13">
        <f t="shared" si="13"/>
        <v>0</v>
      </c>
      <c r="P35" s="13">
        <f t="shared" si="14"/>
        <v>0</v>
      </c>
      <c r="Q35" s="13">
        <f t="shared" si="15"/>
        <v>0</v>
      </c>
      <c r="R35" s="59">
        <f t="shared" si="16"/>
        <v>1</v>
      </c>
      <c r="S35" s="59">
        <f t="shared" si="17"/>
        <v>1</v>
      </c>
      <c r="T35" s="59">
        <f t="shared" si="18"/>
        <v>1</v>
      </c>
      <c r="U35" s="31" t="str">
        <f t="shared" si="19"/>
        <v> </v>
      </c>
      <c r="V35" s="31" t="str">
        <f t="shared" si="20"/>
        <v> </v>
      </c>
      <c r="W35" s="13">
        <f t="shared" si="21"/>
        <v>0</v>
      </c>
      <c r="X35" s="13">
        <f t="shared" si="22"/>
        <v>0</v>
      </c>
      <c r="Y35" s="13">
        <f t="shared" si="23"/>
        <v>0</v>
      </c>
      <c r="Z35" s="11">
        <v>152</v>
      </c>
      <c r="AA35" s="11">
        <f t="shared" si="24"/>
        <v>0</v>
      </c>
      <c r="AB35" s="11">
        <f t="shared" si="25"/>
        <v>0</v>
      </c>
    </row>
    <row r="36" spans="1:28" ht="14.25">
      <c r="A36" s="28"/>
      <c r="B36" s="60"/>
      <c r="C36" s="11">
        <f t="shared" si="8"/>
        <v>0</v>
      </c>
      <c r="D36" s="30">
        <f t="shared" si="9"/>
        <v>0</v>
      </c>
      <c r="E36" s="12">
        <f t="shared" si="10"/>
        <v>0</v>
      </c>
      <c r="F36" s="12">
        <f>ROUND(IF($K$30=0,0,IF($K$30&gt;1,IF($K$30&gt;3,IF($K$30&gt;4,IF($K$30&gt;5,A36/#REF!,A36/#REF!),A36/R36),A36/S36),A36*T36)),2)</f>
        <v>0</v>
      </c>
      <c r="G36" s="11">
        <f t="shared" si="11"/>
        <v>0</v>
      </c>
      <c r="H36" s="39" t="s">
        <v>82</v>
      </c>
      <c r="I36" s="58">
        <v>0</v>
      </c>
      <c r="J36" s="13">
        <v>1</v>
      </c>
      <c r="K36" s="13" t="s">
        <v>83</v>
      </c>
      <c r="N36" s="13">
        <f t="shared" si="12"/>
        <v>0</v>
      </c>
      <c r="O36" s="13">
        <f t="shared" si="13"/>
        <v>0</v>
      </c>
      <c r="P36" s="13">
        <f t="shared" si="14"/>
        <v>0</v>
      </c>
      <c r="Q36" s="13">
        <f t="shared" si="15"/>
        <v>0</v>
      </c>
      <c r="R36" s="59">
        <f t="shared" si="16"/>
        <v>1</v>
      </c>
      <c r="S36" s="59">
        <f t="shared" si="17"/>
        <v>1</v>
      </c>
      <c r="T36" s="59">
        <f t="shared" si="18"/>
        <v>1</v>
      </c>
      <c r="U36" s="31" t="str">
        <f t="shared" si="19"/>
        <v> </v>
      </c>
      <c r="V36" s="31" t="str">
        <f t="shared" si="20"/>
        <v> </v>
      </c>
      <c r="W36" s="13">
        <f t="shared" si="21"/>
        <v>0</v>
      </c>
      <c r="X36" s="13">
        <f t="shared" si="22"/>
        <v>0</v>
      </c>
      <c r="Y36" s="13">
        <f t="shared" si="23"/>
        <v>0</v>
      </c>
      <c r="Z36" s="11">
        <v>183</v>
      </c>
      <c r="AA36" s="11">
        <f t="shared" si="24"/>
        <v>0</v>
      </c>
      <c r="AB36" s="11">
        <f t="shared" si="25"/>
        <v>0</v>
      </c>
    </row>
    <row r="37" spans="1:28" ht="14.25">
      <c r="A37" s="28"/>
      <c r="B37" s="60"/>
      <c r="C37" s="11">
        <f t="shared" si="8"/>
        <v>0</v>
      </c>
      <c r="D37" s="30">
        <f t="shared" si="9"/>
        <v>0</v>
      </c>
      <c r="E37" s="12">
        <f t="shared" si="10"/>
        <v>0</v>
      </c>
      <c r="F37" s="12">
        <f>ROUND(IF($K$30=0,0,IF($K$30&gt;1,IF($K$30&gt;3,IF($K$30&gt;4,IF($K$30&gt;5,A37/#REF!,A37/#REF!),A37/R37),A37/S37),A37*T37)),2)</f>
        <v>0</v>
      </c>
      <c r="G37" s="11">
        <f t="shared" si="11"/>
        <v>0</v>
      </c>
      <c r="H37" s="39" t="s">
        <v>84</v>
      </c>
      <c r="I37" s="58">
        <v>0</v>
      </c>
      <c r="J37" s="13">
        <v>2</v>
      </c>
      <c r="K37" s="13" t="s">
        <v>85</v>
      </c>
      <c r="N37" s="13">
        <f t="shared" si="12"/>
        <v>0</v>
      </c>
      <c r="O37" s="13">
        <f t="shared" si="13"/>
        <v>0</v>
      </c>
      <c r="P37" s="13">
        <f t="shared" si="14"/>
        <v>0</v>
      </c>
      <c r="Q37" s="13">
        <f t="shared" si="15"/>
        <v>0</v>
      </c>
      <c r="R37" s="59">
        <f t="shared" si="16"/>
        <v>1</v>
      </c>
      <c r="S37" s="59">
        <f t="shared" si="17"/>
        <v>1</v>
      </c>
      <c r="T37" s="59">
        <f t="shared" si="18"/>
        <v>1</v>
      </c>
      <c r="U37" s="31" t="str">
        <f t="shared" si="19"/>
        <v> </v>
      </c>
      <c r="V37" s="31" t="str">
        <f t="shared" si="20"/>
        <v> </v>
      </c>
      <c r="W37" s="13">
        <f t="shared" si="21"/>
        <v>0</v>
      </c>
      <c r="X37" s="13">
        <f t="shared" si="22"/>
        <v>0</v>
      </c>
      <c r="Y37" s="13">
        <f t="shared" si="23"/>
        <v>0</v>
      </c>
      <c r="Z37" s="11">
        <v>213</v>
      </c>
      <c r="AA37" s="11">
        <f t="shared" si="24"/>
        <v>0</v>
      </c>
      <c r="AB37" s="11">
        <f t="shared" si="25"/>
        <v>0</v>
      </c>
    </row>
    <row r="38" spans="1:28" ht="14.25">
      <c r="A38" s="28"/>
      <c r="B38" s="60"/>
      <c r="C38" s="11">
        <f t="shared" si="8"/>
        <v>0</v>
      </c>
      <c r="D38" s="30">
        <f t="shared" si="9"/>
        <v>0</v>
      </c>
      <c r="E38" s="12">
        <f t="shared" si="10"/>
        <v>0</v>
      </c>
      <c r="F38" s="12">
        <f>ROUND(IF($K$30=0,0,IF($K$30&gt;1,IF($K$30&gt;3,IF($K$30&gt;4,IF($K$30&gt;5,A38/#REF!,A38/#REF!),A38/R38),A38/S38),A38*T38)),2)</f>
        <v>0</v>
      </c>
      <c r="G38" s="11">
        <f t="shared" si="11"/>
        <v>0</v>
      </c>
      <c r="H38" s="39" t="s">
        <v>86</v>
      </c>
      <c r="I38" s="58">
        <v>0</v>
      </c>
      <c r="J38" s="13">
        <v>1</v>
      </c>
      <c r="K38" s="13" t="s">
        <v>87</v>
      </c>
      <c r="N38" s="13">
        <f t="shared" si="12"/>
        <v>0</v>
      </c>
      <c r="O38" s="13">
        <f t="shared" si="13"/>
        <v>0</v>
      </c>
      <c r="P38" s="13">
        <f t="shared" si="14"/>
        <v>0</v>
      </c>
      <c r="Q38" s="13">
        <f t="shared" si="15"/>
        <v>0</v>
      </c>
      <c r="R38" s="59">
        <f t="shared" si="16"/>
        <v>1</v>
      </c>
      <c r="S38" s="59">
        <f t="shared" si="17"/>
        <v>1</v>
      </c>
      <c r="T38" s="59">
        <f t="shared" si="18"/>
        <v>1</v>
      </c>
      <c r="U38" s="31" t="str">
        <f t="shared" si="19"/>
        <v> </v>
      </c>
      <c r="V38" s="31" t="str">
        <f t="shared" si="20"/>
        <v> </v>
      </c>
      <c r="W38" s="13">
        <f t="shared" si="21"/>
        <v>0</v>
      </c>
      <c r="X38" s="13">
        <f t="shared" si="22"/>
        <v>0</v>
      </c>
      <c r="Y38" s="13">
        <f t="shared" si="23"/>
        <v>0</v>
      </c>
      <c r="Z38" s="11">
        <v>243</v>
      </c>
      <c r="AA38" s="11">
        <f t="shared" si="24"/>
        <v>0</v>
      </c>
      <c r="AB38" s="11">
        <f t="shared" si="25"/>
        <v>0</v>
      </c>
    </row>
    <row r="39" spans="1:28" ht="14.25">
      <c r="A39" s="28"/>
      <c r="B39" s="60"/>
      <c r="C39" s="11">
        <f t="shared" si="8"/>
        <v>0</v>
      </c>
      <c r="D39" s="30">
        <f t="shared" si="9"/>
        <v>0</v>
      </c>
      <c r="E39" s="12">
        <f t="shared" si="10"/>
        <v>0</v>
      </c>
      <c r="F39" s="12">
        <f>ROUND(IF($K$30=0,0,IF($K$30&gt;1,IF($K$30&gt;3,IF($K$30&gt;4,IF($K$30&gt;5,A39/#REF!,A39/#REF!),A39/R39),A39/S39),A39*T39)),2)</f>
        <v>0</v>
      </c>
      <c r="G39" s="11">
        <f t="shared" si="11"/>
        <v>0</v>
      </c>
      <c r="H39" s="39" t="s">
        <v>88</v>
      </c>
      <c r="I39" s="58">
        <v>0</v>
      </c>
      <c r="J39" s="13">
        <v>2</v>
      </c>
      <c r="K39" s="61" t="s">
        <v>89</v>
      </c>
      <c r="N39" s="13">
        <f t="shared" si="12"/>
        <v>0</v>
      </c>
      <c r="O39" s="13">
        <f t="shared" si="13"/>
        <v>0</v>
      </c>
      <c r="P39" s="13">
        <f t="shared" si="14"/>
        <v>0</v>
      </c>
      <c r="Q39" s="13">
        <f t="shared" si="15"/>
        <v>0</v>
      </c>
      <c r="R39" s="59">
        <f t="shared" si="16"/>
        <v>1</v>
      </c>
      <c r="S39" s="59">
        <f t="shared" si="17"/>
        <v>1</v>
      </c>
      <c r="T39" s="59">
        <f t="shared" si="18"/>
        <v>1</v>
      </c>
      <c r="U39" s="31" t="str">
        <f t="shared" si="19"/>
        <v> </v>
      </c>
      <c r="V39" s="31" t="str">
        <f t="shared" si="20"/>
        <v> </v>
      </c>
      <c r="W39" s="13">
        <f t="shared" si="21"/>
        <v>0</v>
      </c>
      <c r="X39" s="13">
        <f t="shared" si="22"/>
        <v>0</v>
      </c>
      <c r="Y39" s="13">
        <f t="shared" si="23"/>
        <v>0</v>
      </c>
      <c r="Z39" s="11">
        <v>274</v>
      </c>
      <c r="AA39" s="11">
        <f t="shared" si="24"/>
        <v>0</v>
      </c>
      <c r="AB39" s="11">
        <f t="shared" si="25"/>
        <v>0</v>
      </c>
    </row>
    <row r="40" spans="1:28" ht="14.25">
      <c r="A40" s="28"/>
      <c r="B40" s="60"/>
      <c r="C40" s="11">
        <f t="shared" si="8"/>
        <v>0</v>
      </c>
      <c r="D40" s="30">
        <f t="shared" si="9"/>
        <v>0</v>
      </c>
      <c r="E40" s="12">
        <f t="shared" si="10"/>
        <v>0</v>
      </c>
      <c r="F40" s="12">
        <f>ROUND(IF($K$30=0,0,IF($K$30&gt;1,IF($K$30&gt;3,IF($K$30&gt;4,IF($K$30&gt;5,A40/#REF!,A40/#REF!),A40/R40),A40/S40),A40*T40)),2)</f>
        <v>0</v>
      </c>
      <c r="G40" s="11">
        <f t="shared" si="11"/>
        <v>0</v>
      </c>
      <c r="H40" s="39" t="s">
        <v>90</v>
      </c>
      <c r="I40" s="58">
        <v>0</v>
      </c>
      <c r="J40" s="13"/>
      <c r="K40" s="13"/>
      <c r="N40" s="13">
        <f t="shared" si="12"/>
        <v>0</v>
      </c>
      <c r="O40" s="13">
        <f t="shared" si="13"/>
        <v>0</v>
      </c>
      <c r="P40" s="13">
        <f t="shared" si="14"/>
        <v>0</v>
      </c>
      <c r="Q40" s="13">
        <f t="shared" si="15"/>
        <v>0</v>
      </c>
      <c r="R40" s="59">
        <f t="shared" si="16"/>
        <v>1</v>
      </c>
      <c r="S40" s="59">
        <f t="shared" si="17"/>
        <v>1</v>
      </c>
      <c r="T40" s="59">
        <f t="shared" si="18"/>
        <v>1</v>
      </c>
      <c r="U40" s="31" t="str">
        <f t="shared" si="19"/>
        <v> </v>
      </c>
      <c r="V40" s="31" t="str">
        <f t="shared" si="20"/>
        <v> </v>
      </c>
      <c r="W40" s="13">
        <f t="shared" si="21"/>
        <v>0</v>
      </c>
      <c r="X40" s="13">
        <f t="shared" si="22"/>
        <v>0</v>
      </c>
      <c r="Y40" s="13">
        <f t="shared" si="23"/>
        <v>0</v>
      </c>
      <c r="Z40" s="11">
        <v>304</v>
      </c>
      <c r="AA40" s="11">
        <f t="shared" si="24"/>
        <v>0</v>
      </c>
      <c r="AB40" s="11">
        <f t="shared" si="25"/>
        <v>0</v>
      </c>
    </row>
    <row r="41" spans="1:28" ht="14.25">
      <c r="A41" s="28"/>
      <c r="B41" s="60"/>
      <c r="C41" s="11">
        <f t="shared" si="8"/>
        <v>0</v>
      </c>
      <c r="D41" s="30">
        <f t="shared" si="9"/>
        <v>0</v>
      </c>
      <c r="E41" s="12">
        <f t="shared" si="10"/>
        <v>0</v>
      </c>
      <c r="F41" s="12">
        <f>ROUND(IF($K$30=0,0,IF($K$30&gt;1,IF($K$30&gt;3,IF($K$30&gt;4,IF($K$30&gt;5,A41/#REF!,A41/#REF!),A41/R41),A41/S41),A41*T41)),2)</f>
        <v>0</v>
      </c>
      <c r="G41" s="11">
        <f t="shared" si="11"/>
        <v>0</v>
      </c>
      <c r="H41" s="39" t="s">
        <v>91</v>
      </c>
      <c r="I41" s="58">
        <v>0</v>
      </c>
      <c r="J41" s="13"/>
      <c r="K41" s="13"/>
      <c r="N41" s="13">
        <f t="shared" si="12"/>
        <v>0</v>
      </c>
      <c r="O41" s="13">
        <f t="shared" si="13"/>
        <v>0</v>
      </c>
      <c r="P41" s="13">
        <f t="shared" si="14"/>
        <v>0</v>
      </c>
      <c r="Q41" s="13">
        <f t="shared" si="15"/>
        <v>0</v>
      </c>
      <c r="R41" s="59">
        <f t="shared" si="16"/>
        <v>1</v>
      </c>
      <c r="S41" s="59">
        <f t="shared" si="17"/>
        <v>1</v>
      </c>
      <c r="T41" s="59">
        <f t="shared" si="18"/>
        <v>1</v>
      </c>
      <c r="U41" s="31" t="str">
        <f t="shared" si="19"/>
        <v> </v>
      </c>
      <c r="V41" s="31" t="str">
        <f t="shared" si="20"/>
        <v> </v>
      </c>
      <c r="W41" s="13">
        <f t="shared" si="21"/>
        <v>0</v>
      </c>
      <c r="X41" s="13">
        <f t="shared" si="22"/>
        <v>0</v>
      </c>
      <c r="Y41" s="13">
        <f t="shared" si="23"/>
        <v>0</v>
      </c>
      <c r="Z41" s="11">
        <v>334</v>
      </c>
      <c r="AA41" s="11">
        <f t="shared" si="24"/>
        <v>0</v>
      </c>
      <c r="AB41" s="11">
        <f t="shared" si="25"/>
        <v>0</v>
      </c>
    </row>
    <row r="42" spans="1:28" ht="14.25">
      <c r="A42" s="42"/>
      <c r="B42" s="62"/>
      <c r="C42" s="11">
        <f t="shared" si="8"/>
        <v>0</v>
      </c>
      <c r="D42" s="30">
        <f t="shared" si="9"/>
        <v>0</v>
      </c>
      <c r="E42" s="12">
        <f t="shared" si="10"/>
        <v>0</v>
      </c>
      <c r="F42" s="12">
        <f>ROUND(IF($K$30=0,0,IF($K$30&gt;1,IF($K$30&gt;3,IF($K$30&gt;4,IF($K$30&gt;5,A42/#REF!,A42/#REF!),A42/R42),A42/S42),A42*T42)),2)</f>
        <v>0</v>
      </c>
      <c r="G42" s="11">
        <f t="shared" si="11"/>
        <v>0</v>
      </c>
      <c r="H42" s="63" t="s">
        <v>92</v>
      </c>
      <c r="I42" s="58">
        <v>0</v>
      </c>
      <c r="J42" s="13"/>
      <c r="K42" s="36">
        <v>1</v>
      </c>
      <c r="N42" s="13">
        <f t="shared" si="12"/>
        <v>0</v>
      </c>
      <c r="O42" s="13">
        <f t="shared" si="13"/>
        <v>0</v>
      </c>
      <c r="P42" s="13">
        <f t="shared" si="14"/>
        <v>0</v>
      </c>
      <c r="Q42" s="13">
        <f t="shared" si="15"/>
        <v>0</v>
      </c>
      <c r="R42" s="59">
        <f t="shared" si="16"/>
        <v>1</v>
      </c>
      <c r="S42" s="59">
        <f t="shared" si="17"/>
        <v>1</v>
      </c>
      <c r="T42" s="59">
        <f t="shared" si="18"/>
        <v>1</v>
      </c>
      <c r="U42" s="31" t="str">
        <f t="shared" si="19"/>
        <v> </v>
      </c>
      <c r="V42" s="31" t="str">
        <f t="shared" si="20"/>
        <v> </v>
      </c>
      <c r="W42" s="13">
        <f t="shared" si="21"/>
        <v>0</v>
      </c>
      <c r="X42" s="13">
        <f t="shared" si="22"/>
        <v>0</v>
      </c>
      <c r="Y42" s="13">
        <f t="shared" si="23"/>
        <v>0</v>
      </c>
      <c r="Z42" s="11">
        <v>365</v>
      </c>
      <c r="AA42" s="11">
        <f t="shared" si="24"/>
        <v>0</v>
      </c>
      <c r="AB42" s="11">
        <f t="shared" si="25"/>
        <v>0</v>
      </c>
    </row>
    <row r="43" spans="1:27" ht="14.25">
      <c r="A43" s="12">
        <f>SUM(A30:A42)</f>
        <v>0</v>
      </c>
      <c r="B43" s="12"/>
      <c r="D43" s="51"/>
      <c r="E43" s="32">
        <f>SUM(E30:E42)</f>
        <v>0</v>
      </c>
      <c r="F43" s="32">
        <f>SUM(F30:F42)</f>
        <v>0</v>
      </c>
      <c r="G43" s="64"/>
      <c r="H43" s="63" t="s">
        <v>93</v>
      </c>
      <c r="I43" s="58">
        <v>0</v>
      </c>
      <c r="J43" s="13"/>
      <c r="K43" s="13"/>
      <c r="Z43" s="11">
        <v>730</v>
      </c>
      <c r="AA43" s="11"/>
    </row>
    <row r="44" spans="2:27" ht="14.25">
      <c r="B44" s="12"/>
      <c r="C44" s="18" t="s">
        <v>31</v>
      </c>
      <c r="D44" s="55" t="s">
        <v>94</v>
      </c>
      <c r="E44" s="18" t="s">
        <v>95</v>
      </c>
      <c r="G44" s="65">
        <f>IF(F43&gt;0,F43/I26,0)</f>
        <v>0</v>
      </c>
      <c r="H44" s="63" t="s">
        <v>96</v>
      </c>
      <c r="I44" s="58">
        <v>0</v>
      </c>
      <c r="J44" s="13"/>
      <c r="K44" s="13"/>
      <c r="Z44" s="11">
        <v>1095</v>
      </c>
      <c r="AA44" s="11"/>
    </row>
    <row r="45" spans="1:27" ht="14.25">
      <c r="A45" s="11" t="s">
        <v>97</v>
      </c>
      <c r="B45" s="12" t="str">
        <f>IF(E24&gt;49.99,"flat on face","%")</f>
        <v>%</v>
      </c>
      <c r="C45" s="30">
        <f>IF(B24&gt;0,B25-B24,0)</f>
        <v>2</v>
      </c>
      <c r="D45" s="51">
        <f>E24</f>
        <v>0</v>
      </c>
      <c r="E45" s="12">
        <f>IF(AND(E24&gt;-5,E24&lt;50),I26*C45*D45/36000,E24)</f>
        <v>0</v>
      </c>
      <c r="G45" s="39" t="s">
        <v>98</v>
      </c>
      <c r="H45" s="39" t="s">
        <v>99</v>
      </c>
      <c r="I45" s="58">
        <v>0</v>
      </c>
      <c r="J45" s="13"/>
      <c r="K45" s="13"/>
      <c r="Z45" s="11">
        <v>1460</v>
      </c>
      <c r="AA45" s="11"/>
    </row>
    <row r="46" spans="1:27" ht="14.25">
      <c r="A46" s="11" t="s">
        <v>48</v>
      </c>
      <c r="B46" s="12" t="str">
        <f>IF(G24&gt;49.99,"flat on face","%")</f>
        <v>%</v>
      </c>
      <c r="D46" s="51">
        <f>G24</f>
        <v>0</v>
      </c>
      <c r="E46" s="12">
        <f>IF(AND(G24&gt;-5,G24&lt;50),I26*D46/100,G24)</f>
        <v>0</v>
      </c>
      <c r="F46" s="19">
        <f>SUM(E45:E46)</f>
        <v>0</v>
      </c>
      <c r="I46" s="66"/>
      <c r="J46" s="13">
        <v>1</v>
      </c>
      <c r="K46" s="13" t="s">
        <v>100</v>
      </c>
      <c r="L46" s="13">
        <f>IF(J46=1,360,365)</f>
        <v>360</v>
      </c>
      <c r="Z46" s="11">
        <v>1825</v>
      </c>
      <c r="AA46" s="11"/>
    </row>
    <row r="47" spans="1:27" ht="15" thickBot="1">
      <c r="A47" s="12" t="s">
        <v>101</v>
      </c>
      <c r="B47" s="12"/>
      <c r="D47" s="51"/>
      <c r="E47" s="67"/>
      <c r="F47" s="68">
        <f>F43-F46</f>
        <v>0</v>
      </c>
      <c r="J47" s="13">
        <v>1</v>
      </c>
      <c r="K47" s="13" t="s">
        <v>102</v>
      </c>
      <c r="Z47" s="11"/>
      <c r="AA47" s="11"/>
    </row>
    <row r="48" spans="10:27" ht="15" thickTop="1">
      <c r="J48" s="13">
        <v>2</v>
      </c>
      <c r="K48" s="13" t="s">
        <v>103</v>
      </c>
      <c r="Z48" s="11"/>
      <c r="AA48" s="11"/>
    </row>
    <row r="49" spans="10:27" ht="14.25">
      <c r="J49" s="13"/>
      <c r="K49" s="13"/>
      <c r="Z49" s="11"/>
      <c r="AA49" s="11"/>
    </row>
  </sheetData>
  <sheetProtection sheet="1" objects="1" scenarios="1"/>
  <mergeCells count="2">
    <mergeCell ref="B22:G22"/>
    <mergeCell ref="B23:G23"/>
  </mergeCells>
  <conditionalFormatting sqref="B3 D3 A30:B42 A5:A17 B22:G23 B24:B25 E24:E25 G24:G25 I22:I23 I30:I45 D5:D17">
    <cfRule type="expression" priority="1" dxfId="0" stopIfTrue="1">
      <formula>$K$22=TRUE</formula>
    </cfRule>
  </conditionalFormatting>
  <conditionalFormatting sqref="I3">
    <cfRule type="expression" priority="2" dxfId="0" stopIfTrue="1">
      <formula>K22=TRUE</formula>
    </cfRule>
  </conditionalFormatting>
  <conditionalFormatting sqref="H3">
    <cfRule type="expression" priority="3" dxfId="0" stopIfTrue="1">
      <formula>K22=TRUE</formula>
    </cfRule>
  </conditionalFormatting>
  <printOptions/>
  <pageMargins left="0.74" right="0.73" top="0.49" bottom="0.52" header="0.42" footer="0.51"/>
  <pageSetup fitToHeight="1" fitToWidth="1" horizontalDpi="300" verticalDpi="300" orientation="landscape" paperSize="9" scale="8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Admin</cp:lastModifiedBy>
  <cp:lastPrinted>1999-08-18T09:05:10Z</cp:lastPrinted>
  <dcterms:created xsi:type="dcterms:W3CDTF">1997-09-29T15:19:47Z</dcterms:created>
  <dcterms:modified xsi:type="dcterms:W3CDTF">2006-07-17T15:32:17Z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